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90" windowWidth="15615" windowHeight="8910" tabRatio="771"/>
  </bookViews>
  <sheets>
    <sheet name="Results Matrix Part C" sheetId="1" r:id="rId1"/>
    <sheet name="Sheet2" sheetId="2" state="hidden" r:id="rId2"/>
    <sheet name="Sheet3" sheetId="3" state="hidden" r:id="rId3"/>
    <sheet name="Compliance Matrix Part C" sheetId="7" r:id="rId4"/>
    <sheet name="Data Completeness" sheetId="5" r:id="rId5"/>
    <sheet name="Data Anomalies" sheetId="8" r:id="rId6"/>
    <sheet name="Data Comparison" sheetId="10" r:id="rId7"/>
    <sheet name="Performance Change Over Time" sheetId="6" r:id="rId8"/>
  </sheets>
  <definedNames>
    <definedName name="OLE_LINK2" localSheetId="4">'Data Completeness'!#REF!</definedName>
    <definedName name="_xlnm.Print_Area" localSheetId="5">'Data Anomalies'!$A$1:$F$71</definedName>
    <definedName name="_xlnm.Print_Area" localSheetId="4">'Data Completeness'!$A$1:$I$22</definedName>
    <definedName name="_xlnm.Print_Area" localSheetId="7">'Performance Change Over Time'!$A$3:$N$453</definedName>
    <definedName name="_xlnm.Print_Area" localSheetId="0">'Results Matrix Part C'!$A$1:$I$53</definedName>
  </definedNames>
  <calcPr calcId="145621"/>
</workbook>
</file>

<file path=xl/calcChain.xml><?xml version="1.0" encoding="utf-8"?>
<calcChain xmlns="http://schemas.openxmlformats.org/spreadsheetml/2006/main">
  <c r="F27" i="8" l="1"/>
  <c r="E27" i="8"/>
  <c r="F22" i="8"/>
  <c r="E22" i="8"/>
  <c r="F15" i="8" l="1"/>
  <c r="E15" i="8"/>
  <c r="B28" i="1" l="1"/>
  <c r="C28" i="1"/>
  <c r="D28" i="1"/>
  <c r="E28" i="1"/>
  <c r="F28" i="1"/>
  <c r="G28" i="1"/>
  <c r="D5" i="1" l="1"/>
  <c r="B58" i="8" l="1"/>
  <c r="B59" i="8" s="1"/>
  <c r="L32" i="1"/>
  <c r="G18" i="10"/>
  <c r="F18" i="10"/>
  <c r="E18" i="10"/>
  <c r="D18" i="10"/>
  <c r="C18" i="10"/>
  <c r="B18" i="10"/>
  <c r="O17" i="10"/>
  <c r="N17" i="10"/>
  <c r="M17" i="10"/>
  <c r="L17" i="10"/>
  <c r="K17" i="10"/>
  <c r="J17" i="10"/>
  <c r="F64" i="8"/>
  <c r="F65" i="8" s="1"/>
  <c r="E64" i="8"/>
  <c r="E65" i="8" s="1"/>
  <c r="D64" i="8"/>
  <c r="D65" i="8" s="1"/>
  <c r="C64" i="8"/>
  <c r="C65" i="8" s="1"/>
  <c r="B64" i="8"/>
  <c r="B65" i="8" s="1"/>
  <c r="F58" i="8"/>
  <c r="F59" i="8" s="1"/>
  <c r="E58" i="8"/>
  <c r="E59" i="8" s="1"/>
  <c r="D58" i="8"/>
  <c r="D59" i="8" s="1"/>
  <c r="C58" i="8"/>
  <c r="C59" i="8" s="1"/>
  <c r="F52" i="8"/>
  <c r="F53" i="8" s="1"/>
  <c r="E52" i="8"/>
  <c r="E53" i="8" s="1"/>
  <c r="D52" i="8"/>
  <c r="D53" i="8" s="1"/>
  <c r="C52" i="8"/>
  <c r="C53" i="8" s="1"/>
  <c r="B52" i="8"/>
  <c r="B53" i="8" s="1"/>
  <c r="D19" i="10" l="1"/>
  <c r="D20" i="10" s="1"/>
  <c r="D24" i="1" s="1"/>
  <c r="O20" i="10"/>
  <c r="N64" i="8"/>
  <c r="M64" i="8"/>
  <c r="L64" i="8"/>
  <c r="N58" i="8"/>
  <c r="M58" i="8"/>
  <c r="L58" i="8"/>
  <c r="K58" i="8"/>
  <c r="J58" i="8"/>
  <c r="N52" i="8"/>
  <c r="M52" i="8"/>
  <c r="L52" i="8"/>
  <c r="K52" i="8"/>
  <c r="J52" i="8"/>
  <c r="G59" i="8" l="1"/>
  <c r="O58" i="8"/>
  <c r="C60" i="8"/>
  <c r="O52" i="8"/>
  <c r="C54" i="8"/>
  <c r="G53" i="8"/>
  <c r="N425" i="6"/>
  <c r="I424" i="6"/>
  <c r="H424" i="6"/>
  <c r="I423" i="6"/>
  <c r="H423" i="6"/>
  <c r="M423" i="6" s="1"/>
  <c r="I422" i="6"/>
  <c r="H422" i="6"/>
  <c r="M422" i="6" s="1"/>
  <c r="I421" i="6"/>
  <c r="H421" i="6"/>
  <c r="M421" i="6" s="1"/>
  <c r="I420" i="6"/>
  <c r="H420" i="6"/>
  <c r="I419" i="6"/>
  <c r="H419" i="6"/>
  <c r="M419" i="6" s="1"/>
  <c r="N418" i="6"/>
  <c r="I417" i="6"/>
  <c r="H417" i="6"/>
  <c r="M417" i="6" s="1"/>
  <c r="I416" i="6"/>
  <c r="H416" i="6"/>
  <c r="I415" i="6"/>
  <c r="H415" i="6"/>
  <c r="I414" i="6"/>
  <c r="H414" i="6"/>
  <c r="I413" i="6"/>
  <c r="H413" i="6"/>
  <c r="I412" i="6"/>
  <c r="H412" i="6"/>
  <c r="N411" i="6"/>
  <c r="I410" i="6"/>
  <c r="H410" i="6"/>
  <c r="M410" i="6" s="1"/>
  <c r="I409" i="6"/>
  <c r="H409" i="6"/>
  <c r="I408" i="6"/>
  <c r="H408" i="6"/>
  <c r="I407" i="6"/>
  <c r="H407" i="6"/>
  <c r="M407" i="6" s="1"/>
  <c r="I406" i="6"/>
  <c r="H406" i="6"/>
  <c r="M406" i="6" s="1"/>
  <c r="I405" i="6"/>
  <c r="H405" i="6"/>
  <c r="N404" i="6"/>
  <c r="I403" i="6"/>
  <c r="H403" i="6"/>
  <c r="I402" i="6"/>
  <c r="H402" i="6"/>
  <c r="I401" i="6"/>
  <c r="H401" i="6"/>
  <c r="I400" i="6"/>
  <c r="H400" i="6"/>
  <c r="M400" i="6" s="1"/>
  <c r="I399" i="6"/>
  <c r="H399" i="6"/>
  <c r="I398" i="6"/>
  <c r="H398" i="6"/>
  <c r="N397" i="6"/>
  <c r="I396" i="6"/>
  <c r="H396" i="6"/>
  <c r="I395" i="6"/>
  <c r="H395" i="6"/>
  <c r="M395" i="6" s="1"/>
  <c r="I394" i="6"/>
  <c r="H394" i="6"/>
  <c r="M394" i="6" s="1"/>
  <c r="I393" i="6"/>
  <c r="H393" i="6"/>
  <c r="M393" i="6" s="1"/>
  <c r="I392" i="6"/>
  <c r="H392" i="6"/>
  <c r="I391" i="6"/>
  <c r="H391" i="6"/>
  <c r="M391" i="6" s="1"/>
  <c r="N390" i="6"/>
  <c r="I389" i="6"/>
  <c r="H389" i="6"/>
  <c r="M389" i="6" s="1"/>
  <c r="I388" i="6"/>
  <c r="H388" i="6"/>
  <c r="I387" i="6"/>
  <c r="H387" i="6"/>
  <c r="M387" i="6" s="1"/>
  <c r="I386" i="6"/>
  <c r="H386" i="6"/>
  <c r="M386" i="6" s="1"/>
  <c r="I385" i="6"/>
  <c r="H385" i="6"/>
  <c r="M385" i="6" s="1"/>
  <c r="I384" i="6"/>
  <c r="H384" i="6"/>
  <c r="N383" i="6"/>
  <c r="I382" i="6"/>
  <c r="H382" i="6"/>
  <c r="M382" i="6" s="1"/>
  <c r="I381" i="6"/>
  <c r="H381" i="6"/>
  <c r="I380" i="6"/>
  <c r="H380" i="6"/>
  <c r="M380" i="6" s="1"/>
  <c r="I379" i="6"/>
  <c r="H379" i="6"/>
  <c r="I378" i="6"/>
  <c r="H378" i="6"/>
  <c r="M378" i="6" s="1"/>
  <c r="I377" i="6"/>
  <c r="H377" i="6"/>
  <c r="N376" i="6"/>
  <c r="I375" i="6"/>
  <c r="H375" i="6"/>
  <c r="I374" i="6"/>
  <c r="H374" i="6"/>
  <c r="M374" i="6" s="1"/>
  <c r="I373" i="6"/>
  <c r="H373" i="6"/>
  <c r="M373" i="6" s="1"/>
  <c r="I372" i="6"/>
  <c r="H372" i="6"/>
  <c r="M372" i="6" s="1"/>
  <c r="I371" i="6"/>
  <c r="H371" i="6"/>
  <c r="I370" i="6"/>
  <c r="H370" i="6"/>
  <c r="N369" i="6"/>
  <c r="I368" i="6"/>
  <c r="H368" i="6"/>
  <c r="I367" i="6"/>
  <c r="H367" i="6"/>
  <c r="M367" i="6" s="1"/>
  <c r="I366" i="6"/>
  <c r="H366" i="6"/>
  <c r="I365" i="6"/>
  <c r="H365" i="6"/>
  <c r="M365" i="6" s="1"/>
  <c r="I364" i="6"/>
  <c r="H364" i="6"/>
  <c r="I363" i="6"/>
  <c r="H363" i="6"/>
  <c r="M363" i="6" s="1"/>
  <c r="N362" i="6"/>
  <c r="I361" i="6"/>
  <c r="H361" i="6"/>
  <c r="M361" i="6" s="1"/>
  <c r="I360" i="6"/>
  <c r="H360" i="6"/>
  <c r="I359" i="6"/>
  <c r="H359" i="6"/>
  <c r="I358" i="6"/>
  <c r="H358" i="6"/>
  <c r="I357" i="6"/>
  <c r="H357" i="6"/>
  <c r="M357" i="6" s="1"/>
  <c r="I356" i="6"/>
  <c r="H356" i="6"/>
  <c r="N355" i="6"/>
  <c r="I354" i="6"/>
  <c r="H354" i="6"/>
  <c r="M354" i="6" s="1"/>
  <c r="I353" i="6"/>
  <c r="H353" i="6"/>
  <c r="I352" i="6"/>
  <c r="H352" i="6"/>
  <c r="M352" i="6" s="1"/>
  <c r="I351" i="6"/>
  <c r="H351" i="6"/>
  <c r="I350" i="6"/>
  <c r="H350" i="6"/>
  <c r="M350" i="6" s="1"/>
  <c r="I349" i="6"/>
  <c r="H349" i="6"/>
  <c r="N348" i="6"/>
  <c r="I347" i="6"/>
  <c r="H347" i="6"/>
  <c r="I346" i="6"/>
  <c r="H346" i="6"/>
  <c r="I345" i="6"/>
  <c r="H345" i="6"/>
  <c r="I344" i="6"/>
  <c r="H344" i="6"/>
  <c r="I343" i="6"/>
  <c r="H343" i="6"/>
  <c r="I342" i="6"/>
  <c r="H342" i="6"/>
  <c r="M342" i="6" s="1"/>
  <c r="N341" i="6"/>
  <c r="I340" i="6"/>
  <c r="H340" i="6"/>
  <c r="M340" i="6" s="1"/>
  <c r="I339" i="6"/>
  <c r="H339" i="6"/>
  <c r="M339" i="6" s="1"/>
  <c r="I338" i="6"/>
  <c r="H338" i="6"/>
  <c r="I337" i="6"/>
  <c r="H337" i="6"/>
  <c r="M337" i="6" s="1"/>
  <c r="I336" i="6"/>
  <c r="H336" i="6"/>
  <c r="I335" i="6"/>
  <c r="H335" i="6"/>
  <c r="M335" i="6" s="1"/>
  <c r="N334" i="6"/>
  <c r="I333" i="6"/>
  <c r="H333" i="6"/>
  <c r="I332" i="6"/>
  <c r="H332" i="6"/>
  <c r="I331" i="6"/>
  <c r="H331" i="6"/>
  <c r="M331" i="6" s="1"/>
  <c r="I330" i="6"/>
  <c r="H330" i="6"/>
  <c r="I329" i="6"/>
  <c r="H329" i="6"/>
  <c r="M329" i="6" s="1"/>
  <c r="I328" i="6"/>
  <c r="H328" i="6"/>
  <c r="N327" i="6"/>
  <c r="I326" i="6"/>
  <c r="H326" i="6"/>
  <c r="M326" i="6" s="1"/>
  <c r="I325" i="6"/>
  <c r="H325" i="6"/>
  <c r="I324" i="6"/>
  <c r="H324" i="6"/>
  <c r="M324" i="6" s="1"/>
  <c r="I323" i="6"/>
  <c r="H323" i="6"/>
  <c r="I322" i="6"/>
  <c r="H322" i="6"/>
  <c r="M322" i="6" s="1"/>
  <c r="I321" i="6"/>
  <c r="H321" i="6"/>
  <c r="M321" i="6" s="1"/>
  <c r="N320" i="6"/>
  <c r="I319" i="6"/>
  <c r="H319" i="6"/>
  <c r="M319" i="6" s="1"/>
  <c r="I318" i="6"/>
  <c r="H318" i="6"/>
  <c r="I317" i="6"/>
  <c r="H317" i="6"/>
  <c r="M317" i="6" s="1"/>
  <c r="I316" i="6"/>
  <c r="H316" i="6"/>
  <c r="M316" i="6" s="1"/>
  <c r="I315" i="6"/>
  <c r="H315" i="6"/>
  <c r="M315" i="6" s="1"/>
  <c r="I314" i="6"/>
  <c r="H314" i="6"/>
  <c r="N313" i="6"/>
  <c r="I312" i="6"/>
  <c r="H312" i="6"/>
  <c r="I311" i="6"/>
  <c r="H311" i="6"/>
  <c r="M311" i="6" s="1"/>
  <c r="I310" i="6"/>
  <c r="H310" i="6"/>
  <c r="M310" i="6" s="1"/>
  <c r="I309" i="6"/>
  <c r="H309" i="6"/>
  <c r="M309" i="6" s="1"/>
  <c r="I308" i="6"/>
  <c r="H308" i="6"/>
  <c r="I307" i="6"/>
  <c r="H307" i="6"/>
  <c r="M307" i="6" s="1"/>
  <c r="N306" i="6"/>
  <c r="I305" i="6"/>
  <c r="H305" i="6"/>
  <c r="I304" i="6"/>
  <c r="H304" i="6"/>
  <c r="M304" i="6" s="1"/>
  <c r="I303" i="6"/>
  <c r="H303" i="6"/>
  <c r="M303" i="6" s="1"/>
  <c r="I302" i="6"/>
  <c r="H302" i="6"/>
  <c r="M302" i="6" s="1"/>
  <c r="I301" i="6"/>
  <c r="H301" i="6"/>
  <c r="I300" i="6"/>
  <c r="H300" i="6"/>
  <c r="M300" i="6" s="1"/>
  <c r="N299" i="6"/>
  <c r="I298" i="6"/>
  <c r="H298" i="6"/>
  <c r="M298" i="6" s="1"/>
  <c r="I297" i="6"/>
  <c r="H297" i="6"/>
  <c r="M297" i="6" s="1"/>
  <c r="I296" i="6"/>
  <c r="H296" i="6"/>
  <c r="M296" i="6" s="1"/>
  <c r="I295" i="6"/>
  <c r="H295" i="6"/>
  <c r="I294" i="6"/>
  <c r="H294" i="6"/>
  <c r="M294" i="6" s="1"/>
  <c r="I293" i="6"/>
  <c r="H293" i="6"/>
  <c r="M293" i="6" s="1"/>
  <c r="N292" i="6"/>
  <c r="I291" i="6"/>
  <c r="H291" i="6"/>
  <c r="M291" i="6" s="1"/>
  <c r="I290" i="6"/>
  <c r="H290" i="6"/>
  <c r="I289" i="6"/>
  <c r="H289" i="6"/>
  <c r="M289" i="6" s="1"/>
  <c r="I288" i="6"/>
  <c r="H288" i="6"/>
  <c r="I287" i="6"/>
  <c r="H287" i="6"/>
  <c r="M287" i="6" s="1"/>
  <c r="I286" i="6"/>
  <c r="H286" i="6"/>
  <c r="N285" i="6"/>
  <c r="I284" i="6"/>
  <c r="H284" i="6"/>
  <c r="I283" i="6"/>
  <c r="H283" i="6"/>
  <c r="M283" i="6" s="1"/>
  <c r="I282" i="6"/>
  <c r="H282" i="6"/>
  <c r="M282" i="6" s="1"/>
  <c r="I281" i="6"/>
  <c r="H281" i="6"/>
  <c r="I280" i="6"/>
  <c r="H280" i="6"/>
  <c r="I279" i="6"/>
  <c r="H279" i="6"/>
  <c r="M279" i="6" s="1"/>
  <c r="N278" i="6"/>
  <c r="I277" i="6"/>
  <c r="H277" i="6"/>
  <c r="M277" i="6" s="1"/>
  <c r="I276" i="6"/>
  <c r="H276" i="6"/>
  <c r="M276" i="6" s="1"/>
  <c r="I275" i="6"/>
  <c r="H275" i="6"/>
  <c r="I274" i="6"/>
  <c r="H274" i="6"/>
  <c r="M274" i="6" s="1"/>
  <c r="I273" i="6"/>
  <c r="H273" i="6"/>
  <c r="I272" i="6"/>
  <c r="H272" i="6"/>
  <c r="M272" i="6" s="1"/>
  <c r="N271" i="6"/>
  <c r="I270" i="6"/>
  <c r="H270" i="6"/>
  <c r="M270" i="6" s="1"/>
  <c r="I269" i="6"/>
  <c r="H269" i="6"/>
  <c r="I268" i="6"/>
  <c r="H268" i="6"/>
  <c r="I267" i="6"/>
  <c r="H267" i="6"/>
  <c r="I266" i="6"/>
  <c r="H266" i="6"/>
  <c r="M266" i="6" s="1"/>
  <c r="I265" i="6"/>
  <c r="H265" i="6"/>
  <c r="M265" i="6" s="1"/>
  <c r="N264" i="6"/>
  <c r="I263" i="6"/>
  <c r="H263" i="6"/>
  <c r="M263" i="6" s="1"/>
  <c r="I262" i="6"/>
  <c r="H262" i="6"/>
  <c r="I261" i="6"/>
  <c r="H261" i="6"/>
  <c r="M261" i="6" s="1"/>
  <c r="I260" i="6"/>
  <c r="H260" i="6"/>
  <c r="M260" i="6" s="1"/>
  <c r="I259" i="6"/>
  <c r="H259" i="6"/>
  <c r="M259" i="6" s="1"/>
  <c r="I258" i="6"/>
  <c r="H258" i="6"/>
  <c r="N257" i="6"/>
  <c r="I256" i="6"/>
  <c r="H256" i="6"/>
  <c r="I255" i="6"/>
  <c r="H255" i="6"/>
  <c r="I254" i="6"/>
  <c r="H254" i="6"/>
  <c r="I253" i="6"/>
  <c r="H253" i="6"/>
  <c r="M253" i="6" s="1"/>
  <c r="I252" i="6"/>
  <c r="H252" i="6"/>
  <c r="I251" i="6"/>
  <c r="H251" i="6"/>
  <c r="N250" i="6"/>
  <c r="I249" i="6"/>
  <c r="H249" i="6"/>
  <c r="I248" i="6"/>
  <c r="H248" i="6"/>
  <c r="M248" i="6" s="1"/>
  <c r="I247" i="6"/>
  <c r="H247" i="6"/>
  <c r="M247" i="6" s="1"/>
  <c r="I246" i="6"/>
  <c r="H246" i="6"/>
  <c r="I245" i="6"/>
  <c r="H245" i="6"/>
  <c r="I244" i="6"/>
  <c r="H244" i="6"/>
  <c r="M244" i="6" s="1"/>
  <c r="N243" i="6"/>
  <c r="I242" i="6"/>
  <c r="H242" i="6"/>
  <c r="I241" i="6"/>
  <c r="H241" i="6"/>
  <c r="I240" i="6"/>
  <c r="H240" i="6"/>
  <c r="M240" i="6" s="1"/>
  <c r="I239" i="6"/>
  <c r="H239" i="6"/>
  <c r="I238" i="6"/>
  <c r="H238" i="6"/>
  <c r="M238" i="6" s="1"/>
  <c r="I237" i="6"/>
  <c r="H237" i="6"/>
  <c r="M237" i="6" s="1"/>
  <c r="N236" i="6"/>
  <c r="I235" i="6"/>
  <c r="H235" i="6"/>
  <c r="M235" i="6" s="1"/>
  <c r="I234" i="6"/>
  <c r="H234" i="6"/>
  <c r="I233" i="6"/>
  <c r="H233" i="6"/>
  <c r="I232" i="6"/>
  <c r="H232" i="6"/>
  <c r="I231" i="6"/>
  <c r="H231" i="6"/>
  <c r="M231" i="6" s="1"/>
  <c r="I230" i="6"/>
  <c r="H230" i="6"/>
  <c r="N229" i="6"/>
  <c r="I228" i="6"/>
  <c r="H228" i="6"/>
  <c r="I227" i="6"/>
  <c r="H227" i="6"/>
  <c r="M227" i="6" s="1"/>
  <c r="I226" i="6"/>
  <c r="H226" i="6"/>
  <c r="M226" i="6" s="1"/>
  <c r="I225" i="6"/>
  <c r="H225" i="6"/>
  <c r="M225" i="6" s="1"/>
  <c r="I224" i="6"/>
  <c r="H224" i="6"/>
  <c r="I223" i="6"/>
  <c r="H223" i="6"/>
  <c r="N222" i="6"/>
  <c r="I221" i="6"/>
  <c r="H221" i="6"/>
  <c r="I220" i="6"/>
  <c r="H220" i="6"/>
  <c r="M220" i="6" s="1"/>
  <c r="I219" i="6"/>
  <c r="H219" i="6"/>
  <c r="I218" i="6"/>
  <c r="H218" i="6"/>
  <c r="M218" i="6" s="1"/>
  <c r="I217" i="6"/>
  <c r="H217" i="6"/>
  <c r="I216" i="6"/>
  <c r="H216" i="6"/>
  <c r="M216" i="6" s="1"/>
  <c r="N215" i="6"/>
  <c r="I214" i="6"/>
  <c r="H214" i="6"/>
  <c r="M214" i="6" s="1"/>
  <c r="I213" i="6"/>
  <c r="H213" i="6"/>
  <c r="I212" i="6"/>
  <c r="H212" i="6"/>
  <c r="I211" i="6"/>
  <c r="H211" i="6"/>
  <c r="M211" i="6" s="1"/>
  <c r="I210" i="6"/>
  <c r="H210" i="6"/>
  <c r="M210" i="6" s="1"/>
  <c r="I209" i="6"/>
  <c r="H209" i="6"/>
  <c r="M209" i="6" s="1"/>
  <c r="N208" i="6"/>
  <c r="I207" i="6"/>
  <c r="H207" i="6"/>
  <c r="M207" i="6" s="1"/>
  <c r="I206" i="6"/>
  <c r="H206" i="6"/>
  <c r="I205" i="6"/>
  <c r="H205" i="6"/>
  <c r="M205" i="6" s="1"/>
  <c r="I204" i="6"/>
  <c r="H204" i="6"/>
  <c r="M204" i="6" s="1"/>
  <c r="I203" i="6"/>
  <c r="H203" i="6"/>
  <c r="I202" i="6"/>
  <c r="H202" i="6"/>
  <c r="N201" i="6"/>
  <c r="I200" i="6"/>
  <c r="H200" i="6"/>
  <c r="M200" i="6" s="1"/>
  <c r="I199" i="6"/>
  <c r="H199" i="6"/>
  <c r="I198" i="6"/>
  <c r="H198" i="6"/>
  <c r="I197" i="6"/>
  <c r="H197" i="6"/>
  <c r="I196" i="6"/>
  <c r="H196" i="6"/>
  <c r="M196" i="6" s="1"/>
  <c r="I195" i="6"/>
  <c r="H195" i="6"/>
  <c r="N194" i="6"/>
  <c r="I193" i="6"/>
  <c r="H193" i="6"/>
  <c r="I192" i="6"/>
  <c r="H192" i="6"/>
  <c r="M192" i="6" s="1"/>
  <c r="I191" i="6"/>
  <c r="H191" i="6"/>
  <c r="M191" i="6" s="1"/>
  <c r="I190" i="6"/>
  <c r="H190" i="6"/>
  <c r="I189" i="6"/>
  <c r="H189" i="6"/>
  <c r="I188" i="6"/>
  <c r="H188" i="6"/>
  <c r="M188" i="6" s="1"/>
  <c r="N187" i="6"/>
  <c r="I186" i="6"/>
  <c r="H186" i="6"/>
  <c r="M186" i="6" s="1"/>
  <c r="I185" i="6"/>
  <c r="H185" i="6"/>
  <c r="I184" i="6"/>
  <c r="H184" i="6"/>
  <c r="M184" i="6" s="1"/>
  <c r="I183" i="6"/>
  <c r="H183" i="6"/>
  <c r="I182" i="6"/>
  <c r="H182" i="6"/>
  <c r="M182" i="6" s="1"/>
  <c r="I181" i="6"/>
  <c r="H181" i="6"/>
  <c r="M181" i="6" s="1"/>
  <c r="N180" i="6"/>
  <c r="I179" i="6"/>
  <c r="H179" i="6"/>
  <c r="I178" i="6"/>
  <c r="H178" i="6"/>
  <c r="I177" i="6"/>
  <c r="H177" i="6"/>
  <c r="M177" i="6" s="1"/>
  <c r="I176" i="6"/>
  <c r="H176" i="6"/>
  <c r="I175" i="6"/>
  <c r="H175" i="6"/>
  <c r="M175" i="6" s="1"/>
  <c r="I174" i="6"/>
  <c r="H174" i="6"/>
  <c r="N173" i="6"/>
  <c r="I172" i="6"/>
  <c r="H172" i="6"/>
  <c r="I171" i="6"/>
  <c r="H171" i="6"/>
  <c r="I170" i="6"/>
  <c r="H170" i="6"/>
  <c r="M170" i="6" s="1"/>
  <c r="I169" i="6"/>
  <c r="H169" i="6"/>
  <c r="M169" i="6" s="1"/>
  <c r="I168" i="6"/>
  <c r="H168" i="6"/>
  <c r="I167" i="6"/>
  <c r="H167" i="6"/>
  <c r="N166" i="6"/>
  <c r="I165" i="6"/>
  <c r="H165" i="6"/>
  <c r="I164" i="6"/>
  <c r="H164" i="6"/>
  <c r="M164" i="6" s="1"/>
  <c r="I163" i="6"/>
  <c r="H163" i="6"/>
  <c r="I162" i="6"/>
  <c r="H162" i="6"/>
  <c r="M162" i="6" s="1"/>
  <c r="I161" i="6"/>
  <c r="H161" i="6"/>
  <c r="I160" i="6"/>
  <c r="H160" i="6"/>
  <c r="N159" i="6"/>
  <c r="I158" i="6"/>
  <c r="H158" i="6"/>
  <c r="I157" i="6"/>
  <c r="H157" i="6"/>
  <c r="I156" i="6"/>
  <c r="H156" i="6"/>
  <c r="M156" i="6" s="1"/>
  <c r="I155" i="6"/>
  <c r="H155" i="6"/>
  <c r="I154" i="6"/>
  <c r="H154" i="6"/>
  <c r="M154" i="6" s="1"/>
  <c r="I153" i="6"/>
  <c r="H153" i="6"/>
  <c r="M153" i="6" s="1"/>
  <c r="N152" i="6"/>
  <c r="I151" i="6"/>
  <c r="H151" i="6"/>
  <c r="M151" i="6" s="1"/>
  <c r="I150" i="6"/>
  <c r="H150" i="6"/>
  <c r="I149" i="6"/>
  <c r="H149" i="6"/>
  <c r="M149" i="6" s="1"/>
  <c r="I148" i="6"/>
  <c r="H148" i="6"/>
  <c r="I147" i="6"/>
  <c r="H147" i="6"/>
  <c r="M147" i="6" s="1"/>
  <c r="I146" i="6"/>
  <c r="H146" i="6"/>
  <c r="N145" i="6"/>
  <c r="I144" i="6"/>
  <c r="H144" i="6"/>
  <c r="I143" i="6"/>
  <c r="H143" i="6"/>
  <c r="I142" i="6"/>
  <c r="H142" i="6"/>
  <c r="I141" i="6"/>
  <c r="H141" i="6"/>
  <c r="I140" i="6"/>
  <c r="H140" i="6"/>
  <c r="I139" i="6"/>
  <c r="H139" i="6"/>
  <c r="M139" i="6" s="1"/>
  <c r="N138" i="6"/>
  <c r="R32" i="1" s="1"/>
  <c r="I137" i="6"/>
  <c r="H137" i="6"/>
  <c r="I136" i="6"/>
  <c r="H136" i="6"/>
  <c r="I135" i="6"/>
  <c r="H135" i="6"/>
  <c r="M135" i="6" s="1"/>
  <c r="I134" i="6"/>
  <c r="H134" i="6"/>
  <c r="M134" i="6" s="1"/>
  <c r="I133" i="6"/>
  <c r="H133" i="6"/>
  <c r="I132" i="6"/>
  <c r="H132" i="6"/>
  <c r="N131" i="6"/>
  <c r="I130" i="6"/>
  <c r="H130" i="6"/>
  <c r="M130" i="6" s="1"/>
  <c r="I129" i="6"/>
  <c r="H129" i="6"/>
  <c r="I128" i="6"/>
  <c r="H128" i="6"/>
  <c r="M128" i="6" s="1"/>
  <c r="I127" i="6"/>
  <c r="H127" i="6"/>
  <c r="I126" i="6"/>
  <c r="H126" i="6"/>
  <c r="I125" i="6"/>
  <c r="H125" i="6"/>
  <c r="M125" i="6" s="1"/>
  <c r="N124" i="6"/>
  <c r="I123" i="6"/>
  <c r="H123" i="6"/>
  <c r="M123" i="6" s="1"/>
  <c r="I122" i="6"/>
  <c r="H122" i="6"/>
  <c r="M122" i="6" s="1"/>
  <c r="I121" i="6"/>
  <c r="H121" i="6"/>
  <c r="M121" i="6" s="1"/>
  <c r="I120" i="6"/>
  <c r="H120" i="6"/>
  <c r="I119" i="6"/>
  <c r="H119" i="6"/>
  <c r="M119" i="6" s="1"/>
  <c r="I118" i="6"/>
  <c r="H118" i="6"/>
  <c r="M118" i="6" s="1"/>
  <c r="N117" i="6"/>
  <c r="I116" i="6"/>
  <c r="H116" i="6"/>
  <c r="M116" i="6" s="1"/>
  <c r="I115" i="6"/>
  <c r="H115" i="6"/>
  <c r="M115" i="6" s="1"/>
  <c r="I114" i="6"/>
  <c r="H114" i="6"/>
  <c r="M114" i="6" s="1"/>
  <c r="I113" i="6"/>
  <c r="H113" i="6"/>
  <c r="M113" i="6" s="1"/>
  <c r="I112" i="6"/>
  <c r="H112" i="6"/>
  <c r="I111" i="6"/>
  <c r="H111" i="6"/>
  <c r="N110" i="6"/>
  <c r="I109" i="6"/>
  <c r="H109" i="6"/>
  <c r="I108" i="6"/>
  <c r="H108" i="6"/>
  <c r="M108" i="6" s="1"/>
  <c r="I107" i="6"/>
  <c r="H107" i="6"/>
  <c r="I106" i="6"/>
  <c r="H106" i="6"/>
  <c r="I105" i="6"/>
  <c r="H105" i="6"/>
  <c r="I104" i="6"/>
  <c r="H104" i="6"/>
  <c r="M104" i="6" s="1"/>
  <c r="N103" i="6"/>
  <c r="I102" i="6"/>
  <c r="H102" i="6"/>
  <c r="I101" i="6"/>
  <c r="H101" i="6"/>
  <c r="M101" i="6" s="1"/>
  <c r="I100" i="6"/>
  <c r="H100" i="6"/>
  <c r="M100" i="6" s="1"/>
  <c r="I99" i="6"/>
  <c r="H99" i="6"/>
  <c r="I98" i="6"/>
  <c r="H98" i="6"/>
  <c r="M98" i="6" s="1"/>
  <c r="I97" i="6"/>
  <c r="H97" i="6"/>
  <c r="M97" i="6" s="1"/>
  <c r="N96" i="6"/>
  <c r="I95" i="6"/>
  <c r="H95" i="6"/>
  <c r="M95" i="6" s="1"/>
  <c r="I94" i="6"/>
  <c r="H94" i="6"/>
  <c r="I93" i="6"/>
  <c r="H93" i="6"/>
  <c r="M93" i="6" s="1"/>
  <c r="I92" i="6"/>
  <c r="H92" i="6"/>
  <c r="I91" i="6"/>
  <c r="H91" i="6"/>
  <c r="M91" i="6" s="1"/>
  <c r="I90" i="6"/>
  <c r="H90" i="6"/>
  <c r="N89" i="6"/>
  <c r="I88" i="6"/>
  <c r="H88" i="6"/>
  <c r="M88" i="6" s="1"/>
  <c r="I87" i="6"/>
  <c r="H87" i="6"/>
  <c r="I86" i="6"/>
  <c r="H86" i="6"/>
  <c r="M86" i="6" s="1"/>
  <c r="I85" i="6"/>
  <c r="H85" i="6"/>
  <c r="M85" i="6" s="1"/>
  <c r="I84" i="6"/>
  <c r="H84" i="6"/>
  <c r="M84" i="6" s="1"/>
  <c r="I83" i="6"/>
  <c r="H83" i="6"/>
  <c r="N82" i="6"/>
  <c r="I81" i="6"/>
  <c r="H81" i="6"/>
  <c r="I80" i="6"/>
  <c r="H80" i="6"/>
  <c r="M80" i="6" s="1"/>
  <c r="I79" i="6"/>
  <c r="H79" i="6"/>
  <c r="M79" i="6" s="1"/>
  <c r="I78" i="6"/>
  <c r="H78" i="6"/>
  <c r="M78" i="6" s="1"/>
  <c r="I77" i="6"/>
  <c r="H77" i="6"/>
  <c r="I76" i="6"/>
  <c r="H76" i="6"/>
  <c r="M76" i="6" s="1"/>
  <c r="N75" i="6"/>
  <c r="I74" i="6"/>
  <c r="H74" i="6"/>
  <c r="M74" i="6" s="1"/>
  <c r="I73" i="6"/>
  <c r="H73" i="6"/>
  <c r="M73" i="6" s="1"/>
  <c r="I72" i="6"/>
  <c r="H72" i="6"/>
  <c r="M72" i="6" s="1"/>
  <c r="I71" i="6"/>
  <c r="H71" i="6"/>
  <c r="I70" i="6"/>
  <c r="H70" i="6"/>
  <c r="M70" i="6" s="1"/>
  <c r="I69" i="6"/>
  <c r="H69" i="6"/>
  <c r="M69" i="6" s="1"/>
  <c r="N68" i="6"/>
  <c r="I67" i="6"/>
  <c r="H67" i="6"/>
  <c r="M67" i="6" s="1"/>
  <c r="I66" i="6"/>
  <c r="H66" i="6"/>
  <c r="I65" i="6"/>
  <c r="H65" i="6"/>
  <c r="M65" i="6" s="1"/>
  <c r="I64" i="6"/>
  <c r="H64" i="6"/>
  <c r="I63" i="6"/>
  <c r="H63" i="6"/>
  <c r="M63" i="6" s="1"/>
  <c r="I62" i="6"/>
  <c r="H62" i="6"/>
  <c r="N61" i="6"/>
  <c r="I60" i="6"/>
  <c r="H60" i="6"/>
  <c r="M60" i="6" s="1"/>
  <c r="I59" i="6"/>
  <c r="H59" i="6"/>
  <c r="I58" i="6"/>
  <c r="H58" i="6"/>
  <c r="M58" i="6" s="1"/>
  <c r="I57" i="6"/>
  <c r="H57" i="6"/>
  <c r="M57" i="6" s="1"/>
  <c r="I56" i="6"/>
  <c r="H56" i="6"/>
  <c r="M56" i="6" s="1"/>
  <c r="I55" i="6"/>
  <c r="H55" i="6"/>
  <c r="N54" i="6"/>
  <c r="I53" i="6"/>
  <c r="H53" i="6"/>
  <c r="I52" i="6"/>
  <c r="H52" i="6"/>
  <c r="M52" i="6" s="1"/>
  <c r="I51" i="6"/>
  <c r="H51" i="6"/>
  <c r="I50" i="6"/>
  <c r="H50" i="6"/>
  <c r="M50" i="6" s="1"/>
  <c r="I49" i="6"/>
  <c r="H49" i="6"/>
  <c r="I48" i="6"/>
  <c r="H48" i="6"/>
  <c r="M48" i="6" s="1"/>
  <c r="N47" i="6"/>
  <c r="I46" i="6"/>
  <c r="H46" i="6"/>
  <c r="M46" i="6" s="1"/>
  <c r="I45" i="6"/>
  <c r="H45" i="6"/>
  <c r="M45" i="6" s="1"/>
  <c r="I44" i="6"/>
  <c r="H44" i="6"/>
  <c r="I43" i="6"/>
  <c r="H43" i="6"/>
  <c r="I42" i="6"/>
  <c r="H42" i="6"/>
  <c r="M42" i="6" s="1"/>
  <c r="I41" i="6"/>
  <c r="H41" i="6"/>
  <c r="M41" i="6" s="1"/>
  <c r="N40" i="6"/>
  <c r="I39" i="6"/>
  <c r="H39" i="6"/>
  <c r="M39" i="6" s="1"/>
  <c r="I38" i="6"/>
  <c r="H38" i="6"/>
  <c r="I37" i="6"/>
  <c r="H37" i="6"/>
  <c r="I36" i="6"/>
  <c r="H36" i="6"/>
  <c r="I35" i="6"/>
  <c r="H35" i="6"/>
  <c r="M35" i="6" s="1"/>
  <c r="I34" i="6"/>
  <c r="H34" i="6"/>
  <c r="J87" i="6" l="1"/>
  <c r="K87" i="6" s="1"/>
  <c r="L87" i="6" s="1"/>
  <c r="J125" i="6"/>
  <c r="K125" i="6" s="1"/>
  <c r="L125" i="6" s="1"/>
  <c r="J309" i="6"/>
  <c r="K309" i="6" s="1"/>
  <c r="L309" i="6" s="1"/>
  <c r="J350" i="6"/>
  <c r="K350" i="6" s="1"/>
  <c r="L350" i="6" s="1"/>
  <c r="J391" i="6"/>
  <c r="K391" i="6" s="1"/>
  <c r="L391" i="6" s="1"/>
  <c r="J395" i="6"/>
  <c r="K395" i="6" s="1"/>
  <c r="L395" i="6" s="1"/>
  <c r="J192" i="6"/>
  <c r="K192" i="6" s="1"/>
  <c r="L192" i="6" s="1"/>
  <c r="J273" i="6"/>
  <c r="K273" i="6" s="1"/>
  <c r="L273" i="6" s="1"/>
  <c r="J396" i="6"/>
  <c r="K396" i="6" s="1"/>
  <c r="L396" i="6" s="1"/>
  <c r="J423" i="6"/>
  <c r="K423" i="6" s="1"/>
  <c r="L423" i="6" s="1"/>
  <c r="J132" i="6"/>
  <c r="K132" i="6" s="1"/>
  <c r="L132" i="6" s="1"/>
  <c r="J160" i="6"/>
  <c r="K160" i="6" s="1"/>
  <c r="L160" i="6" s="1"/>
  <c r="J226" i="6"/>
  <c r="K226" i="6" s="1"/>
  <c r="L226" i="6" s="1"/>
  <c r="J233" i="6"/>
  <c r="K233" i="6" s="1"/>
  <c r="L233" i="6" s="1"/>
  <c r="J246" i="6"/>
  <c r="K246" i="6" s="1"/>
  <c r="L246" i="6" s="1"/>
  <c r="J49" i="6"/>
  <c r="K49" i="6" s="1"/>
  <c r="L49" i="6" s="1"/>
  <c r="J67" i="6"/>
  <c r="K67" i="6" s="1"/>
  <c r="L67" i="6" s="1"/>
  <c r="J97" i="6"/>
  <c r="K97" i="6" s="1"/>
  <c r="L97" i="6" s="1"/>
  <c r="J177" i="6"/>
  <c r="K177" i="6" s="1"/>
  <c r="L177" i="6" s="1"/>
  <c r="J211" i="6"/>
  <c r="K211" i="6" s="1"/>
  <c r="L211" i="6" s="1"/>
  <c r="J380" i="6"/>
  <c r="K380" i="6" s="1"/>
  <c r="L380" i="6" s="1"/>
  <c r="J37" i="6"/>
  <c r="K37" i="6" s="1"/>
  <c r="L37" i="6" s="1"/>
  <c r="J65" i="6"/>
  <c r="K65" i="6" s="1"/>
  <c r="L65" i="6" s="1"/>
  <c r="J402" i="6"/>
  <c r="K402" i="6" s="1"/>
  <c r="L402" i="6" s="1"/>
  <c r="J182" i="6"/>
  <c r="K182" i="6" s="1"/>
  <c r="L182" i="6" s="1"/>
  <c r="J186" i="6"/>
  <c r="K186" i="6" s="1"/>
  <c r="L186" i="6" s="1"/>
  <c r="J235" i="6"/>
  <c r="K235" i="6" s="1"/>
  <c r="L235" i="6" s="1"/>
  <c r="J237" i="6"/>
  <c r="K237" i="6" s="1"/>
  <c r="L237" i="6" s="1"/>
  <c r="J266" i="6"/>
  <c r="K266" i="6" s="1"/>
  <c r="L266" i="6" s="1"/>
  <c r="J276" i="6"/>
  <c r="K276" i="6" s="1"/>
  <c r="L276" i="6" s="1"/>
  <c r="M37" i="6"/>
  <c r="J41" i="6"/>
  <c r="K41" i="6" s="1"/>
  <c r="L41" i="6" s="1"/>
  <c r="J134" i="6"/>
  <c r="K134" i="6" s="1"/>
  <c r="L134" i="6" s="1"/>
  <c r="J225" i="6"/>
  <c r="K225" i="6" s="1"/>
  <c r="L225" i="6" s="1"/>
  <c r="J244" i="6"/>
  <c r="K244" i="6" s="1"/>
  <c r="L244" i="6" s="1"/>
  <c r="J298" i="6"/>
  <c r="K298" i="6" s="1"/>
  <c r="L298" i="6" s="1"/>
  <c r="J310" i="6"/>
  <c r="K310" i="6" s="1"/>
  <c r="L310" i="6" s="1"/>
  <c r="J339" i="6"/>
  <c r="K339" i="6" s="1"/>
  <c r="L339" i="6" s="1"/>
  <c r="J365" i="6"/>
  <c r="K365" i="6" s="1"/>
  <c r="L365" i="6" s="1"/>
  <c r="J220" i="6"/>
  <c r="K220" i="6" s="1"/>
  <c r="L220" i="6" s="1"/>
  <c r="J294" i="6"/>
  <c r="K294" i="6" s="1"/>
  <c r="L294" i="6" s="1"/>
  <c r="J304" i="6"/>
  <c r="K304" i="6" s="1"/>
  <c r="L304" i="6" s="1"/>
  <c r="J354" i="6"/>
  <c r="K354" i="6" s="1"/>
  <c r="L354" i="6" s="1"/>
  <c r="J363" i="6"/>
  <c r="K363" i="6" s="1"/>
  <c r="L363" i="6" s="1"/>
  <c r="J39" i="6"/>
  <c r="K39" i="6" s="1"/>
  <c r="L39" i="6" s="1"/>
  <c r="J70" i="6"/>
  <c r="K70" i="6" s="1"/>
  <c r="L70" i="6" s="1"/>
  <c r="J85" i="6"/>
  <c r="K85" i="6" s="1"/>
  <c r="L85" i="6" s="1"/>
  <c r="J108" i="6"/>
  <c r="K108" i="6" s="1"/>
  <c r="L108" i="6" s="1"/>
  <c r="J121" i="6"/>
  <c r="K121" i="6" s="1"/>
  <c r="L121" i="6" s="1"/>
  <c r="M132" i="6"/>
  <c r="J48" i="6"/>
  <c r="K48" i="6" s="1"/>
  <c r="L48" i="6" s="1"/>
  <c r="J50" i="6"/>
  <c r="K50" i="6" s="1"/>
  <c r="L50" i="6" s="1"/>
  <c r="J59" i="6"/>
  <c r="K59" i="6" s="1"/>
  <c r="L59" i="6" s="1"/>
  <c r="J63" i="6"/>
  <c r="K63" i="6" s="1"/>
  <c r="L63" i="6" s="1"/>
  <c r="J136" i="6"/>
  <c r="K136" i="6" s="1"/>
  <c r="L136" i="6" s="1"/>
  <c r="M160" i="6"/>
  <c r="J162" i="6"/>
  <c r="K162" i="6" s="1"/>
  <c r="L162" i="6" s="1"/>
  <c r="J179" i="6"/>
  <c r="K179" i="6" s="1"/>
  <c r="L179" i="6" s="1"/>
  <c r="J209" i="6"/>
  <c r="K209" i="6" s="1"/>
  <c r="L209" i="6" s="1"/>
  <c r="J238" i="6"/>
  <c r="K238" i="6" s="1"/>
  <c r="L238" i="6" s="1"/>
  <c r="M246" i="6"/>
  <c r="J279" i="6"/>
  <c r="K279" i="6" s="1"/>
  <c r="L279" i="6" s="1"/>
  <c r="J293" i="6"/>
  <c r="K293" i="6" s="1"/>
  <c r="L293" i="6" s="1"/>
  <c r="J317" i="6"/>
  <c r="K317" i="6" s="1"/>
  <c r="L317" i="6" s="1"/>
  <c r="J319" i="6"/>
  <c r="K319" i="6" s="1"/>
  <c r="L319" i="6" s="1"/>
  <c r="J352" i="6"/>
  <c r="K352" i="6" s="1"/>
  <c r="L352" i="6" s="1"/>
  <c r="J370" i="6"/>
  <c r="K370" i="6" s="1"/>
  <c r="L370" i="6" s="1"/>
  <c r="J386" i="6"/>
  <c r="K386" i="6" s="1"/>
  <c r="L386" i="6" s="1"/>
  <c r="M402" i="6"/>
  <c r="J410" i="6"/>
  <c r="K410" i="6" s="1"/>
  <c r="L410" i="6" s="1"/>
  <c r="M370" i="6"/>
  <c r="J373" i="6"/>
  <c r="K373" i="6" s="1"/>
  <c r="L373" i="6" s="1"/>
  <c r="J148" i="6"/>
  <c r="K148" i="6" s="1"/>
  <c r="L148" i="6" s="1"/>
  <c r="J153" i="6"/>
  <c r="K153" i="6" s="1"/>
  <c r="L153" i="6" s="1"/>
  <c r="J165" i="6"/>
  <c r="K165" i="6" s="1"/>
  <c r="L165" i="6" s="1"/>
  <c r="J181" i="6"/>
  <c r="K181" i="6" s="1"/>
  <c r="L181" i="6" s="1"/>
  <c r="J205" i="6"/>
  <c r="K205" i="6" s="1"/>
  <c r="L205" i="6" s="1"/>
  <c r="J210" i="6"/>
  <c r="K210" i="6" s="1"/>
  <c r="L210" i="6" s="1"/>
  <c r="J216" i="6"/>
  <c r="K216" i="6" s="1"/>
  <c r="L216" i="6" s="1"/>
  <c r="J218" i="6"/>
  <c r="K218" i="6" s="1"/>
  <c r="L218" i="6" s="1"/>
  <c r="J227" i="6"/>
  <c r="K227" i="6" s="1"/>
  <c r="L227" i="6" s="1"/>
  <c r="J231" i="6"/>
  <c r="K231" i="6" s="1"/>
  <c r="L231" i="6" s="1"/>
  <c r="J263" i="6"/>
  <c r="K263" i="6" s="1"/>
  <c r="L263" i="6" s="1"/>
  <c r="J321" i="6"/>
  <c r="K321" i="6" s="1"/>
  <c r="L321" i="6" s="1"/>
  <c r="J329" i="6"/>
  <c r="K329" i="6" s="1"/>
  <c r="L329" i="6" s="1"/>
  <c r="J335" i="6"/>
  <c r="K335" i="6" s="1"/>
  <c r="L335" i="6" s="1"/>
  <c r="J337" i="6"/>
  <c r="K337" i="6" s="1"/>
  <c r="L337" i="6" s="1"/>
  <c r="J342" i="6"/>
  <c r="K342" i="6" s="1"/>
  <c r="L342" i="6" s="1"/>
  <c r="J367" i="6"/>
  <c r="K367" i="6" s="1"/>
  <c r="L367" i="6" s="1"/>
  <c r="J372" i="6"/>
  <c r="K372" i="6" s="1"/>
  <c r="L372" i="6" s="1"/>
  <c r="J389" i="6"/>
  <c r="K389" i="6" s="1"/>
  <c r="L389" i="6" s="1"/>
  <c r="J393" i="6"/>
  <c r="K393" i="6" s="1"/>
  <c r="L393" i="6" s="1"/>
  <c r="J406" i="6"/>
  <c r="K406" i="6" s="1"/>
  <c r="L406" i="6" s="1"/>
  <c r="J169" i="6"/>
  <c r="K169" i="6" s="1"/>
  <c r="L169" i="6" s="1"/>
  <c r="J170" i="6"/>
  <c r="K170" i="6" s="1"/>
  <c r="L170" i="6" s="1"/>
  <c r="J207" i="6"/>
  <c r="K207" i="6" s="1"/>
  <c r="L207" i="6" s="1"/>
  <c r="M233" i="6"/>
  <c r="M273" i="6"/>
  <c r="J282" i="6"/>
  <c r="K282" i="6" s="1"/>
  <c r="L282" i="6" s="1"/>
  <c r="J297" i="6"/>
  <c r="K297" i="6" s="1"/>
  <c r="L297" i="6" s="1"/>
  <c r="J188" i="6"/>
  <c r="K188" i="6" s="1"/>
  <c r="L188" i="6" s="1"/>
  <c r="J190" i="6"/>
  <c r="K190" i="6" s="1"/>
  <c r="L190" i="6" s="1"/>
  <c r="J259" i="6"/>
  <c r="K259" i="6" s="1"/>
  <c r="L259" i="6" s="1"/>
  <c r="J261" i="6"/>
  <c r="K261" i="6" s="1"/>
  <c r="L261" i="6" s="1"/>
  <c r="J289" i="6"/>
  <c r="K289" i="6" s="1"/>
  <c r="L289" i="6" s="1"/>
  <c r="J291" i="6"/>
  <c r="K291" i="6" s="1"/>
  <c r="L291" i="6" s="1"/>
  <c r="J302" i="6"/>
  <c r="K302" i="6" s="1"/>
  <c r="L302" i="6" s="1"/>
  <c r="J322" i="6"/>
  <c r="K322" i="6" s="1"/>
  <c r="L322" i="6" s="1"/>
  <c r="J338" i="6"/>
  <c r="K338" i="6" s="1"/>
  <c r="L338" i="6" s="1"/>
  <c r="J357" i="6"/>
  <c r="K357" i="6" s="1"/>
  <c r="L357" i="6" s="1"/>
  <c r="J361" i="6"/>
  <c r="K361" i="6" s="1"/>
  <c r="L361" i="6" s="1"/>
  <c r="J382" i="6"/>
  <c r="K382" i="6" s="1"/>
  <c r="L382" i="6" s="1"/>
  <c r="J419" i="6"/>
  <c r="K419" i="6" s="1"/>
  <c r="L419" i="6" s="1"/>
  <c r="M87" i="6"/>
  <c r="J91" i="6"/>
  <c r="K91" i="6" s="1"/>
  <c r="L91" i="6" s="1"/>
  <c r="J57" i="6"/>
  <c r="K57" i="6" s="1"/>
  <c r="L57" i="6" s="1"/>
  <c r="J86" i="6"/>
  <c r="K86" i="6" s="1"/>
  <c r="L86" i="6" s="1"/>
  <c r="J95" i="6"/>
  <c r="K95" i="6" s="1"/>
  <c r="L95" i="6" s="1"/>
  <c r="J101" i="6"/>
  <c r="K101" i="6" s="1"/>
  <c r="L101" i="6" s="1"/>
  <c r="J106" i="6"/>
  <c r="K106" i="6" s="1"/>
  <c r="L106" i="6" s="1"/>
  <c r="J123" i="6"/>
  <c r="K123" i="6" s="1"/>
  <c r="L123" i="6" s="1"/>
  <c r="J128" i="6"/>
  <c r="K128" i="6" s="1"/>
  <c r="L128" i="6" s="1"/>
  <c r="J44" i="6"/>
  <c r="K44" i="6" s="1"/>
  <c r="L44" i="6" s="1"/>
  <c r="J51" i="6"/>
  <c r="K51" i="6" s="1"/>
  <c r="L51" i="6" s="1"/>
  <c r="J53" i="6"/>
  <c r="K53" i="6" s="1"/>
  <c r="L53" i="6" s="1"/>
  <c r="J55" i="6"/>
  <c r="K55" i="6" s="1"/>
  <c r="L55" i="6" s="1"/>
  <c r="J76" i="6"/>
  <c r="K76" i="6" s="1"/>
  <c r="L76" i="6" s="1"/>
  <c r="J100" i="6"/>
  <c r="K100" i="6" s="1"/>
  <c r="L100" i="6" s="1"/>
  <c r="J113" i="6"/>
  <c r="K113" i="6" s="1"/>
  <c r="L113" i="6" s="1"/>
  <c r="J69" i="6"/>
  <c r="K69" i="6" s="1"/>
  <c r="L69" i="6" s="1"/>
  <c r="J93" i="6"/>
  <c r="K93" i="6" s="1"/>
  <c r="L93" i="6" s="1"/>
  <c r="M106" i="6"/>
  <c r="M126" i="6"/>
  <c r="J126" i="6"/>
  <c r="K126" i="6" s="1"/>
  <c r="L126" i="6" s="1"/>
  <c r="M241" i="6"/>
  <c r="J241" i="6"/>
  <c r="K241" i="6" s="1"/>
  <c r="L241" i="6" s="1"/>
  <c r="M254" i="6"/>
  <c r="J254" i="6"/>
  <c r="K254" i="6" s="1"/>
  <c r="L254" i="6" s="1"/>
  <c r="M269" i="6"/>
  <c r="J269" i="6"/>
  <c r="K269" i="6" s="1"/>
  <c r="L269" i="6" s="1"/>
  <c r="M344" i="6"/>
  <c r="J344" i="6"/>
  <c r="K344" i="6" s="1"/>
  <c r="L344" i="6" s="1"/>
  <c r="M384" i="6"/>
  <c r="J384" i="6"/>
  <c r="K384" i="6" s="1"/>
  <c r="L384" i="6" s="1"/>
  <c r="M413" i="6"/>
  <c r="J413" i="6"/>
  <c r="K413" i="6" s="1"/>
  <c r="L413" i="6" s="1"/>
  <c r="J415" i="6"/>
  <c r="K415" i="6" s="1"/>
  <c r="L415" i="6" s="1"/>
  <c r="M415" i="6"/>
  <c r="J36" i="6"/>
  <c r="K36" i="6" s="1"/>
  <c r="L36" i="6" s="1"/>
  <c r="J42" i="6"/>
  <c r="K42" i="6" s="1"/>
  <c r="L42" i="6" s="1"/>
  <c r="J45" i="6"/>
  <c r="K45" i="6" s="1"/>
  <c r="L45" i="6" s="1"/>
  <c r="J52" i="6"/>
  <c r="K52" i="6" s="1"/>
  <c r="L52" i="6" s="1"/>
  <c r="J58" i="6"/>
  <c r="K58" i="6" s="1"/>
  <c r="L58" i="6" s="1"/>
  <c r="J73" i="6"/>
  <c r="K73" i="6" s="1"/>
  <c r="L73" i="6" s="1"/>
  <c r="J77" i="6"/>
  <c r="K77" i="6" s="1"/>
  <c r="L77" i="6" s="1"/>
  <c r="J78" i="6"/>
  <c r="K78" i="6" s="1"/>
  <c r="L78" i="6" s="1"/>
  <c r="J81" i="6"/>
  <c r="K81" i="6" s="1"/>
  <c r="L81" i="6" s="1"/>
  <c r="J83" i="6"/>
  <c r="K83" i="6" s="1"/>
  <c r="L83" i="6" s="1"/>
  <c r="J98" i="6"/>
  <c r="K98" i="6" s="1"/>
  <c r="L98" i="6" s="1"/>
  <c r="J104" i="6"/>
  <c r="K104" i="6" s="1"/>
  <c r="L104" i="6" s="1"/>
  <c r="J107" i="6"/>
  <c r="K107" i="6" s="1"/>
  <c r="L107" i="6" s="1"/>
  <c r="M140" i="6"/>
  <c r="J140" i="6"/>
  <c r="K140" i="6" s="1"/>
  <c r="L140" i="6" s="1"/>
  <c r="J149" i="6"/>
  <c r="K149" i="6" s="1"/>
  <c r="L149" i="6" s="1"/>
  <c r="M158" i="6"/>
  <c r="J158" i="6"/>
  <c r="K158" i="6" s="1"/>
  <c r="L158" i="6" s="1"/>
  <c r="M179" i="6"/>
  <c r="M183" i="6"/>
  <c r="J183" i="6"/>
  <c r="K183" i="6" s="1"/>
  <c r="L183" i="6" s="1"/>
  <c r="M185" i="6"/>
  <c r="J185" i="6"/>
  <c r="K185" i="6" s="1"/>
  <c r="L185" i="6" s="1"/>
  <c r="M190" i="6"/>
  <c r="M198" i="6"/>
  <c r="J198" i="6"/>
  <c r="K198" i="6" s="1"/>
  <c r="L198" i="6" s="1"/>
  <c r="J315" i="6"/>
  <c r="K315" i="6" s="1"/>
  <c r="L315" i="6" s="1"/>
  <c r="M325" i="6"/>
  <c r="J325" i="6"/>
  <c r="K325" i="6" s="1"/>
  <c r="L325" i="6" s="1"/>
  <c r="M356" i="6"/>
  <c r="J356" i="6"/>
  <c r="K356" i="6" s="1"/>
  <c r="L356" i="6" s="1"/>
  <c r="M388" i="6"/>
  <c r="J388" i="6"/>
  <c r="K388" i="6" s="1"/>
  <c r="L388" i="6" s="1"/>
  <c r="J417" i="6"/>
  <c r="K417" i="6" s="1"/>
  <c r="L417" i="6" s="1"/>
  <c r="J421" i="6"/>
  <c r="K421" i="6" s="1"/>
  <c r="L421" i="6" s="1"/>
  <c r="M171" i="6"/>
  <c r="J171" i="6"/>
  <c r="K171" i="6" s="1"/>
  <c r="L171" i="6" s="1"/>
  <c r="M242" i="6"/>
  <c r="J242" i="6"/>
  <c r="K242" i="6" s="1"/>
  <c r="L242" i="6" s="1"/>
  <c r="J251" i="6"/>
  <c r="K251" i="6" s="1"/>
  <c r="L251" i="6" s="1"/>
  <c r="M251" i="6"/>
  <c r="M333" i="6"/>
  <c r="J333" i="6"/>
  <c r="K333" i="6" s="1"/>
  <c r="L333" i="6" s="1"/>
  <c r="M345" i="6"/>
  <c r="J345" i="6"/>
  <c r="K345" i="6" s="1"/>
  <c r="L345" i="6" s="1"/>
  <c r="J351" i="6"/>
  <c r="K351" i="6" s="1"/>
  <c r="L351" i="6" s="1"/>
  <c r="M351" i="6"/>
  <c r="M401" i="6"/>
  <c r="J401" i="6"/>
  <c r="K401" i="6" s="1"/>
  <c r="L401" i="6" s="1"/>
  <c r="M408" i="6"/>
  <c r="J408" i="6"/>
  <c r="K408" i="6" s="1"/>
  <c r="L408" i="6" s="1"/>
  <c r="M414" i="6"/>
  <c r="J414" i="6"/>
  <c r="K414" i="6" s="1"/>
  <c r="L414" i="6" s="1"/>
  <c r="M416" i="6"/>
  <c r="J416" i="6"/>
  <c r="K416" i="6" s="1"/>
  <c r="L416" i="6" s="1"/>
  <c r="J35" i="6"/>
  <c r="K35" i="6" s="1"/>
  <c r="L35" i="6" s="1"/>
  <c r="J46" i="6"/>
  <c r="K46" i="6" s="1"/>
  <c r="L46" i="6" s="1"/>
  <c r="J74" i="6"/>
  <c r="K74" i="6" s="1"/>
  <c r="L74" i="6" s="1"/>
  <c r="J79" i="6"/>
  <c r="K79" i="6" s="1"/>
  <c r="L79" i="6" s="1"/>
  <c r="J80" i="6"/>
  <c r="K80" i="6" s="1"/>
  <c r="L80" i="6" s="1"/>
  <c r="J119" i="6"/>
  <c r="K119" i="6" s="1"/>
  <c r="L119" i="6" s="1"/>
  <c r="M129" i="6"/>
  <c r="J129" i="6"/>
  <c r="K129" i="6" s="1"/>
  <c r="L129" i="6" s="1"/>
  <c r="M136" i="6"/>
  <c r="M141" i="6"/>
  <c r="J141" i="6"/>
  <c r="K141" i="6" s="1"/>
  <c r="L141" i="6" s="1"/>
  <c r="M157" i="6"/>
  <c r="J157" i="6"/>
  <c r="K157" i="6" s="1"/>
  <c r="L157" i="6" s="1"/>
  <c r="M167" i="6"/>
  <c r="J167" i="6"/>
  <c r="K167" i="6" s="1"/>
  <c r="L167" i="6" s="1"/>
  <c r="M203" i="6"/>
  <c r="J203" i="6"/>
  <c r="K203" i="6" s="1"/>
  <c r="L203" i="6" s="1"/>
  <c r="M239" i="6"/>
  <c r="J239" i="6"/>
  <c r="K239" i="6" s="1"/>
  <c r="L239" i="6" s="1"/>
  <c r="J249" i="6"/>
  <c r="K249" i="6" s="1"/>
  <c r="L249" i="6" s="1"/>
  <c r="J288" i="6"/>
  <c r="K288" i="6" s="1"/>
  <c r="L288" i="6" s="1"/>
  <c r="M288" i="6"/>
  <c r="J301" i="6"/>
  <c r="K301" i="6" s="1"/>
  <c r="L301" i="6" s="1"/>
  <c r="J385" i="6"/>
  <c r="K385" i="6" s="1"/>
  <c r="L385" i="6" s="1"/>
  <c r="J398" i="6"/>
  <c r="K398" i="6" s="1"/>
  <c r="L398" i="6" s="1"/>
  <c r="M398" i="6"/>
  <c r="J130" i="6"/>
  <c r="K130" i="6" s="1"/>
  <c r="L130" i="6" s="1"/>
  <c r="J146" i="6"/>
  <c r="K146" i="6" s="1"/>
  <c r="L146" i="6" s="1"/>
  <c r="J147" i="6"/>
  <c r="K147" i="6" s="1"/>
  <c r="L147" i="6" s="1"/>
  <c r="J151" i="6"/>
  <c r="K151" i="6" s="1"/>
  <c r="L151" i="6" s="1"/>
  <c r="J154" i="6"/>
  <c r="K154" i="6" s="1"/>
  <c r="L154" i="6" s="1"/>
  <c r="J164" i="6"/>
  <c r="K164" i="6" s="1"/>
  <c r="L164" i="6" s="1"/>
  <c r="J175" i="6"/>
  <c r="K175" i="6" s="1"/>
  <c r="L175" i="6" s="1"/>
  <c r="J214" i="6"/>
  <c r="K214" i="6" s="1"/>
  <c r="L214" i="6" s="1"/>
  <c r="J248" i="6"/>
  <c r="K248" i="6" s="1"/>
  <c r="L248" i="6" s="1"/>
  <c r="J270" i="6"/>
  <c r="K270" i="6" s="1"/>
  <c r="L270" i="6" s="1"/>
  <c r="J272" i="6"/>
  <c r="K272" i="6" s="1"/>
  <c r="L272" i="6" s="1"/>
  <c r="J274" i="6"/>
  <c r="K274" i="6" s="1"/>
  <c r="L274" i="6" s="1"/>
  <c r="J287" i="6"/>
  <c r="K287" i="6" s="1"/>
  <c r="L287" i="6" s="1"/>
  <c r="J296" i="6"/>
  <c r="K296" i="6" s="1"/>
  <c r="L296" i="6" s="1"/>
  <c r="J300" i="6"/>
  <c r="K300" i="6" s="1"/>
  <c r="L300" i="6" s="1"/>
  <c r="J305" i="6"/>
  <c r="K305" i="6" s="1"/>
  <c r="L305" i="6" s="1"/>
  <c r="J324" i="6"/>
  <c r="K324" i="6" s="1"/>
  <c r="L324" i="6" s="1"/>
  <c r="J326" i="6"/>
  <c r="K326" i="6" s="1"/>
  <c r="L326" i="6" s="1"/>
  <c r="J340" i="6"/>
  <c r="K340" i="6" s="1"/>
  <c r="L340" i="6" s="1"/>
  <c r="J364" i="6"/>
  <c r="K364" i="6" s="1"/>
  <c r="L364" i="6" s="1"/>
  <c r="J374" i="6"/>
  <c r="K374" i="6" s="1"/>
  <c r="L374" i="6" s="1"/>
  <c r="J378" i="6"/>
  <c r="K378" i="6" s="1"/>
  <c r="L378" i="6" s="1"/>
  <c r="J400" i="6"/>
  <c r="K400" i="6" s="1"/>
  <c r="L400" i="6" s="1"/>
  <c r="J120" i="6"/>
  <c r="K120" i="6" s="1"/>
  <c r="L120" i="6" s="1"/>
  <c r="J163" i="6"/>
  <c r="K163" i="6" s="1"/>
  <c r="L163" i="6" s="1"/>
  <c r="J189" i="6"/>
  <c r="K189" i="6" s="1"/>
  <c r="L189" i="6" s="1"/>
  <c r="J193" i="6"/>
  <c r="K193" i="6" s="1"/>
  <c r="L193" i="6" s="1"/>
  <c r="J195" i="6"/>
  <c r="K195" i="6" s="1"/>
  <c r="L195" i="6" s="1"/>
  <c r="J221" i="6"/>
  <c r="K221" i="6" s="1"/>
  <c r="L221" i="6" s="1"/>
  <c r="J245" i="6"/>
  <c r="K245" i="6" s="1"/>
  <c r="L245" i="6" s="1"/>
  <c r="J277" i="6"/>
  <c r="K277" i="6" s="1"/>
  <c r="L277" i="6" s="1"/>
  <c r="J316" i="6"/>
  <c r="K316" i="6" s="1"/>
  <c r="L316" i="6" s="1"/>
  <c r="J331" i="6"/>
  <c r="K331" i="6" s="1"/>
  <c r="L331" i="6" s="1"/>
  <c r="J336" i="6"/>
  <c r="K336" i="6" s="1"/>
  <c r="L336" i="6" s="1"/>
  <c r="J422" i="6"/>
  <c r="K422" i="6" s="1"/>
  <c r="L422" i="6" s="1"/>
  <c r="J424" i="6"/>
  <c r="K424" i="6" s="1"/>
  <c r="L424" i="6" s="1"/>
  <c r="M55" i="6"/>
  <c r="M59" i="6"/>
  <c r="J143" i="6"/>
  <c r="K143" i="6" s="1"/>
  <c r="L143" i="6" s="1"/>
  <c r="M143" i="6"/>
  <c r="M43" i="6"/>
  <c r="J43" i="6"/>
  <c r="K43" i="6" s="1"/>
  <c r="L43" i="6" s="1"/>
  <c r="M51" i="6"/>
  <c r="M83" i="6"/>
  <c r="M112" i="6"/>
  <c r="J112" i="6"/>
  <c r="K112" i="6" s="1"/>
  <c r="L112" i="6" s="1"/>
  <c r="M71" i="6"/>
  <c r="J71" i="6"/>
  <c r="K71" i="6" s="1"/>
  <c r="L71" i="6" s="1"/>
  <c r="M102" i="6"/>
  <c r="J102" i="6"/>
  <c r="K102" i="6" s="1"/>
  <c r="L102" i="6" s="1"/>
  <c r="M142" i="6"/>
  <c r="J142" i="6"/>
  <c r="K142" i="6" s="1"/>
  <c r="L142" i="6" s="1"/>
  <c r="M144" i="6"/>
  <c r="J144" i="6"/>
  <c r="K144" i="6" s="1"/>
  <c r="L144" i="6" s="1"/>
  <c r="J111" i="6"/>
  <c r="K111" i="6" s="1"/>
  <c r="L111" i="6" s="1"/>
  <c r="M111" i="6"/>
  <c r="J150" i="6"/>
  <c r="K150" i="6" s="1"/>
  <c r="L150" i="6" s="1"/>
  <c r="M150" i="6"/>
  <c r="J212" i="6"/>
  <c r="K212" i="6" s="1"/>
  <c r="L212" i="6" s="1"/>
  <c r="M212" i="6"/>
  <c r="J219" i="6"/>
  <c r="K219" i="6" s="1"/>
  <c r="L219" i="6" s="1"/>
  <c r="M219" i="6"/>
  <c r="M256" i="6"/>
  <c r="J256" i="6"/>
  <c r="K256" i="6" s="1"/>
  <c r="L256" i="6" s="1"/>
  <c r="M312" i="6"/>
  <c r="J312" i="6"/>
  <c r="K312" i="6" s="1"/>
  <c r="L312" i="6" s="1"/>
  <c r="M328" i="6"/>
  <c r="J328" i="6"/>
  <c r="K328" i="6" s="1"/>
  <c r="L328" i="6" s="1"/>
  <c r="J420" i="6"/>
  <c r="K420" i="6" s="1"/>
  <c r="L420" i="6" s="1"/>
  <c r="M420" i="6"/>
  <c r="M36" i="6"/>
  <c r="M44" i="6"/>
  <c r="M49" i="6"/>
  <c r="M53" i="6"/>
  <c r="M77" i="6"/>
  <c r="M81" i="6"/>
  <c r="M127" i="6"/>
  <c r="J127" i="6"/>
  <c r="K127" i="6" s="1"/>
  <c r="L127" i="6" s="1"/>
  <c r="M148" i="6"/>
  <c r="M163" i="6"/>
  <c r="J176" i="6"/>
  <c r="K176" i="6" s="1"/>
  <c r="L176" i="6" s="1"/>
  <c r="M176" i="6"/>
  <c r="M195" i="6"/>
  <c r="M213" i="6"/>
  <c r="J213" i="6"/>
  <c r="K213" i="6" s="1"/>
  <c r="L213" i="6" s="1"/>
  <c r="M223" i="6"/>
  <c r="J223" i="6"/>
  <c r="K223" i="6" s="1"/>
  <c r="L223" i="6" s="1"/>
  <c r="M255" i="6"/>
  <c r="J255" i="6"/>
  <c r="K255" i="6" s="1"/>
  <c r="L255" i="6" s="1"/>
  <c r="M267" i="6"/>
  <c r="J267" i="6"/>
  <c r="K267" i="6" s="1"/>
  <c r="L267" i="6" s="1"/>
  <c r="M308" i="6"/>
  <c r="J308" i="6"/>
  <c r="K308" i="6" s="1"/>
  <c r="L308" i="6" s="1"/>
  <c r="M332" i="6"/>
  <c r="J332" i="6"/>
  <c r="K332" i="6" s="1"/>
  <c r="L332" i="6" s="1"/>
  <c r="J34" i="6"/>
  <c r="K34" i="6" s="1"/>
  <c r="L34" i="6" s="1"/>
  <c r="M34" i="6"/>
  <c r="J38" i="6"/>
  <c r="K38" i="6" s="1"/>
  <c r="L38" i="6" s="1"/>
  <c r="M38" i="6"/>
  <c r="J56" i="6"/>
  <c r="K56" i="6" s="1"/>
  <c r="L56" i="6" s="1"/>
  <c r="J60" i="6"/>
  <c r="K60" i="6" s="1"/>
  <c r="L60" i="6" s="1"/>
  <c r="J62" i="6"/>
  <c r="K62" i="6" s="1"/>
  <c r="L62" i="6" s="1"/>
  <c r="M62" i="6"/>
  <c r="J66" i="6"/>
  <c r="K66" i="6" s="1"/>
  <c r="L66" i="6" s="1"/>
  <c r="M66" i="6"/>
  <c r="J72" i="6"/>
  <c r="K72" i="6" s="1"/>
  <c r="L72" i="6" s="1"/>
  <c r="J84" i="6"/>
  <c r="K84" i="6" s="1"/>
  <c r="L84" i="6" s="1"/>
  <c r="J88" i="6"/>
  <c r="K88" i="6" s="1"/>
  <c r="L88" i="6" s="1"/>
  <c r="J90" i="6"/>
  <c r="K90" i="6" s="1"/>
  <c r="L90" i="6" s="1"/>
  <c r="M90" i="6"/>
  <c r="J94" i="6"/>
  <c r="K94" i="6" s="1"/>
  <c r="L94" i="6" s="1"/>
  <c r="M94" i="6"/>
  <c r="M99" i="6"/>
  <c r="J99" i="6"/>
  <c r="K99" i="6" s="1"/>
  <c r="L99" i="6" s="1"/>
  <c r="J114" i="6"/>
  <c r="K114" i="6" s="1"/>
  <c r="L114" i="6" s="1"/>
  <c r="J116" i="6"/>
  <c r="K116" i="6" s="1"/>
  <c r="L116" i="6" s="1"/>
  <c r="J118" i="6"/>
  <c r="K118" i="6" s="1"/>
  <c r="L118" i="6" s="1"/>
  <c r="M120" i="6"/>
  <c r="J139" i="6"/>
  <c r="K139" i="6" s="1"/>
  <c r="L139" i="6" s="1"/>
  <c r="J156" i="6"/>
  <c r="K156" i="6" s="1"/>
  <c r="L156" i="6" s="1"/>
  <c r="M189" i="6"/>
  <c r="M199" i="6"/>
  <c r="J199" i="6"/>
  <c r="K199" i="6" s="1"/>
  <c r="L199" i="6" s="1"/>
  <c r="J217" i="6"/>
  <c r="K217" i="6" s="1"/>
  <c r="L217" i="6" s="1"/>
  <c r="M217" i="6"/>
  <c r="J232" i="6"/>
  <c r="K232" i="6" s="1"/>
  <c r="L232" i="6" s="1"/>
  <c r="M232" i="6"/>
  <c r="M281" i="6"/>
  <c r="J281" i="6"/>
  <c r="K281" i="6" s="1"/>
  <c r="L281" i="6" s="1"/>
  <c r="M284" i="6"/>
  <c r="J284" i="6"/>
  <c r="K284" i="6" s="1"/>
  <c r="L284" i="6" s="1"/>
  <c r="J379" i="6"/>
  <c r="K379" i="6" s="1"/>
  <c r="L379" i="6" s="1"/>
  <c r="M379" i="6"/>
  <c r="J64" i="6"/>
  <c r="K64" i="6" s="1"/>
  <c r="L64" i="6" s="1"/>
  <c r="M64" i="6"/>
  <c r="J92" i="6"/>
  <c r="K92" i="6" s="1"/>
  <c r="L92" i="6" s="1"/>
  <c r="M92" i="6"/>
  <c r="M107" i="6"/>
  <c r="J115" i="6"/>
  <c r="K115" i="6" s="1"/>
  <c r="L115" i="6" s="1"/>
  <c r="J122" i="6"/>
  <c r="K122" i="6" s="1"/>
  <c r="L122" i="6" s="1"/>
  <c r="J135" i="6"/>
  <c r="K135" i="6" s="1"/>
  <c r="L135" i="6" s="1"/>
  <c r="M146" i="6"/>
  <c r="M155" i="6"/>
  <c r="J155" i="6"/>
  <c r="K155" i="6" s="1"/>
  <c r="L155" i="6" s="1"/>
  <c r="M165" i="6"/>
  <c r="M197" i="6"/>
  <c r="J197" i="6"/>
  <c r="K197" i="6" s="1"/>
  <c r="L197" i="6" s="1"/>
  <c r="M280" i="6"/>
  <c r="J280" i="6"/>
  <c r="K280" i="6" s="1"/>
  <c r="L280" i="6" s="1"/>
  <c r="J359" i="6"/>
  <c r="K359" i="6" s="1"/>
  <c r="L359" i="6" s="1"/>
  <c r="M359" i="6"/>
  <c r="J368" i="6"/>
  <c r="K368" i="6" s="1"/>
  <c r="L368" i="6" s="1"/>
  <c r="M368" i="6"/>
  <c r="J105" i="6"/>
  <c r="K105" i="6" s="1"/>
  <c r="L105" i="6" s="1"/>
  <c r="M105" i="6"/>
  <c r="J109" i="6"/>
  <c r="K109" i="6" s="1"/>
  <c r="L109" i="6" s="1"/>
  <c r="M109" i="6"/>
  <c r="J133" i="6"/>
  <c r="K133" i="6" s="1"/>
  <c r="L133" i="6" s="1"/>
  <c r="M133" i="6"/>
  <c r="J137" i="6"/>
  <c r="K137" i="6" s="1"/>
  <c r="L137" i="6" s="1"/>
  <c r="M137" i="6"/>
  <c r="J161" i="6"/>
  <c r="K161" i="6" s="1"/>
  <c r="L161" i="6" s="1"/>
  <c r="M161" i="6"/>
  <c r="M168" i="6"/>
  <c r="J168" i="6"/>
  <c r="K168" i="6" s="1"/>
  <c r="L168" i="6" s="1"/>
  <c r="M221" i="6"/>
  <c r="J275" i="6"/>
  <c r="K275" i="6" s="1"/>
  <c r="L275" i="6" s="1"/>
  <c r="M275" i="6"/>
  <c r="M330" i="6"/>
  <c r="J330" i="6"/>
  <c r="K330" i="6" s="1"/>
  <c r="L330" i="6" s="1"/>
  <c r="M172" i="6"/>
  <c r="J172" i="6"/>
  <c r="K172" i="6" s="1"/>
  <c r="L172" i="6" s="1"/>
  <c r="J184" i="6"/>
  <c r="K184" i="6" s="1"/>
  <c r="L184" i="6" s="1"/>
  <c r="J191" i="6"/>
  <c r="K191" i="6" s="1"/>
  <c r="L191" i="6" s="1"/>
  <c r="M193" i="6"/>
  <c r="M224" i="6"/>
  <c r="J224" i="6"/>
  <c r="K224" i="6" s="1"/>
  <c r="L224" i="6" s="1"/>
  <c r="J268" i="6"/>
  <c r="K268" i="6" s="1"/>
  <c r="L268" i="6" s="1"/>
  <c r="M268" i="6"/>
  <c r="M295" i="6"/>
  <c r="J295" i="6"/>
  <c r="K295" i="6" s="1"/>
  <c r="L295" i="6" s="1"/>
  <c r="M323" i="6"/>
  <c r="J323" i="6"/>
  <c r="K323" i="6" s="1"/>
  <c r="L323" i="6" s="1"/>
  <c r="M358" i="6"/>
  <c r="J358" i="6"/>
  <c r="K358" i="6" s="1"/>
  <c r="L358" i="6" s="1"/>
  <c r="M360" i="6"/>
  <c r="J360" i="6"/>
  <c r="K360" i="6" s="1"/>
  <c r="L360" i="6" s="1"/>
  <c r="J392" i="6"/>
  <c r="K392" i="6" s="1"/>
  <c r="L392" i="6" s="1"/>
  <c r="M392" i="6"/>
  <c r="M399" i="6"/>
  <c r="J399" i="6"/>
  <c r="K399" i="6" s="1"/>
  <c r="L399" i="6" s="1"/>
  <c r="J174" i="6"/>
  <c r="K174" i="6" s="1"/>
  <c r="L174" i="6" s="1"/>
  <c r="M174" i="6"/>
  <c r="J178" i="6"/>
  <c r="K178" i="6" s="1"/>
  <c r="L178" i="6" s="1"/>
  <c r="M178" i="6"/>
  <c r="J196" i="6"/>
  <c r="K196" i="6" s="1"/>
  <c r="L196" i="6" s="1"/>
  <c r="J200" i="6"/>
  <c r="K200" i="6" s="1"/>
  <c r="L200" i="6" s="1"/>
  <c r="J202" i="6"/>
  <c r="K202" i="6" s="1"/>
  <c r="L202" i="6" s="1"/>
  <c r="M202" i="6"/>
  <c r="M228" i="6"/>
  <c r="J228" i="6"/>
  <c r="K228" i="6" s="1"/>
  <c r="L228" i="6" s="1"/>
  <c r="J240" i="6"/>
  <c r="K240" i="6" s="1"/>
  <c r="L240" i="6" s="1"/>
  <c r="J247" i="6"/>
  <c r="K247" i="6" s="1"/>
  <c r="L247" i="6" s="1"/>
  <c r="M249" i="6"/>
  <c r="J253" i="6"/>
  <c r="K253" i="6" s="1"/>
  <c r="L253" i="6" s="1"/>
  <c r="J260" i="6"/>
  <c r="K260" i="6" s="1"/>
  <c r="L260" i="6" s="1"/>
  <c r="J265" i="6"/>
  <c r="K265" i="6" s="1"/>
  <c r="L265" i="6" s="1"/>
  <c r="J283" i="6"/>
  <c r="K283" i="6" s="1"/>
  <c r="L283" i="6" s="1"/>
  <c r="J303" i="6"/>
  <c r="K303" i="6" s="1"/>
  <c r="L303" i="6" s="1"/>
  <c r="J307" i="6"/>
  <c r="K307" i="6" s="1"/>
  <c r="L307" i="6" s="1"/>
  <c r="M338" i="6"/>
  <c r="M347" i="6"/>
  <c r="J347" i="6"/>
  <c r="K347" i="6" s="1"/>
  <c r="L347" i="6" s="1"/>
  <c r="M412" i="6"/>
  <c r="J412" i="6"/>
  <c r="K412" i="6" s="1"/>
  <c r="L412" i="6" s="1"/>
  <c r="J204" i="6"/>
  <c r="K204" i="6" s="1"/>
  <c r="L204" i="6" s="1"/>
  <c r="M245" i="6"/>
  <c r="M252" i="6"/>
  <c r="J252" i="6"/>
  <c r="K252" i="6" s="1"/>
  <c r="L252" i="6" s="1"/>
  <c r="J311" i="6"/>
  <c r="K311" i="6" s="1"/>
  <c r="L311" i="6" s="1"/>
  <c r="M346" i="6"/>
  <c r="J346" i="6"/>
  <c r="K346" i="6" s="1"/>
  <c r="L346" i="6" s="1"/>
  <c r="J366" i="6"/>
  <c r="K366" i="6" s="1"/>
  <c r="L366" i="6" s="1"/>
  <c r="M366" i="6"/>
  <c r="M301" i="6"/>
  <c r="M305" i="6"/>
  <c r="M364" i="6"/>
  <c r="M371" i="6"/>
  <c r="J371" i="6"/>
  <c r="K371" i="6" s="1"/>
  <c r="L371" i="6" s="1"/>
  <c r="M403" i="6"/>
  <c r="J403" i="6"/>
  <c r="K403" i="6" s="1"/>
  <c r="L403" i="6" s="1"/>
  <c r="M424" i="6"/>
  <c r="J206" i="6"/>
  <c r="K206" i="6" s="1"/>
  <c r="L206" i="6" s="1"/>
  <c r="M206" i="6"/>
  <c r="J230" i="6"/>
  <c r="K230" i="6" s="1"/>
  <c r="L230" i="6" s="1"/>
  <c r="M230" i="6"/>
  <c r="J234" i="6"/>
  <c r="K234" i="6" s="1"/>
  <c r="L234" i="6" s="1"/>
  <c r="M234" i="6"/>
  <c r="J258" i="6"/>
  <c r="K258" i="6" s="1"/>
  <c r="L258" i="6" s="1"/>
  <c r="M258" i="6"/>
  <c r="J262" i="6"/>
  <c r="K262" i="6" s="1"/>
  <c r="L262" i="6" s="1"/>
  <c r="M262" i="6"/>
  <c r="J286" i="6"/>
  <c r="K286" i="6" s="1"/>
  <c r="L286" i="6" s="1"/>
  <c r="M286" i="6"/>
  <c r="J290" i="6"/>
  <c r="K290" i="6" s="1"/>
  <c r="L290" i="6" s="1"/>
  <c r="M290" i="6"/>
  <c r="J314" i="6"/>
  <c r="K314" i="6" s="1"/>
  <c r="L314" i="6" s="1"/>
  <c r="M314" i="6"/>
  <c r="J318" i="6"/>
  <c r="K318" i="6" s="1"/>
  <c r="L318" i="6" s="1"/>
  <c r="M318" i="6"/>
  <c r="M336" i="6"/>
  <c r="M343" i="6"/>
  <c r="J343" i="6"/>
  <c r="K343" i="6" s="1"/>
  <c r="L343" i="6" s="1"/>
  <c r="M375" i="6"/>
  <c r="J375" i="6"/>
  <c r="K375" i="6" s="1"/>
  <c r="L375" i="6" s="1"/>
  <c r="J387" i="6"/>
  <c r="K387" i="6" s="1"/>
  <c r="L387" i="6" s="1"/>
  <c r="J394" i="6"/>
  <c r="K394" i="6" s="1"/>
  <c r="L394" i="6" s="1"/>
  <c r="M396" i="6"/>
  <c r="J407" i="6"/>
  <c r="K407" i="6" s="1"/>
  <c r="L407" i="6" s="1"/>
  <c r="J349" i="6"/>
  <c r="K349" i="6" s="1"/>
  <c r="L349" i="6" s="1"/>
  <c r="M349" i="6"/>
  <c r="J353" i="6"/>
  <c r="K353" i="6" s="1"/>
  <c r="L353" i="6" s="1"/>
  <c r="M353" i="6"/>
  <c r="J377" i="6"/>
  <c r="K377" i="6" s="1"/>
  <c r="L377" i="6" s="1"/>
  <c r="M377" i="6"/>
  <c r="J381" i="6"/>
  <c r="K381" i="6" s="1"/>
  <c r="L381" i="6" s="1"/>
  <c r="M381" i="6"/>
  <c r="J405" i="6"/>
  <c r="K405" i="6" s="1"/>
  <c r="L405" i="6" s="1"/>
  <c r="M405" i="6"/>
  <c r="J409" i="6"/>
  <c r="K409" i="6" s="1"/>
  <c r="L409" i="6" s="1"/>
  <c r="M409" i="6"/>
  <c r="D6" i="1" l="1"/>
  <c r="D7" i="1" s="1"/>
  <c r="F14" i="7" l="1"/>
  <c r="F13" i="7"/>
  <c r="F12" i="7"/>
  <c r="F10" i="7"/>
  <c r="D8" i="7" s="1"/>
  <c r="F9" i="7"/>
  <c r="D10" i="7" s="1"/>
  <c r="F8" i="7"/>
  <c r="D9" i="7" s="1"/>
  <c r="F7" i="7"/>
  <c r="D7" i="7" s="1"/>
  <c r="F6" i="7"/>
  <c r="D6" i="7" s="1"/>
  <c r="F5" i="7"/>
  <c r="D5" i="7" s="1"/>
  <c r="F4" i="7"/>
  <c r="D4" i="7" s="1"/>
  <c r="F3" i="7"/>
  <c r="D3" i="7" s="1"/>
  <c r="A17" i="7" l="1"/>
  <c r="B11" i="7"/>
  <c r="F11" i="7" s="1"/>
  <c r="D11" i="7" s="1"/>
  <c r="D14" i="7" s="1"/>
  <c r="B17" i="7" s="1"/>
  <c r="C17" i="7" l="1"/>
  <c r="G38" i="1" s="1"/>
  <c r="D38" i="1"/>
  <c r="A38" i="1"/>
  <c r="J23" i="1"/>
  <c r="O23" i="1"/>
  <c r="N23" i="1"/>
  <c r="M23" i="1"/>
  <c r="L23" i="1"/>
  <c r="J16" i="1"/>
  <c r="M16" i="1" l="1"/>
  <c r="N16" i="1"/>
  <c r="L16" i="1"/>
  <c r="K16" i="1"/>
  <c r="N13" i="1"/>
  <c r="M13" i="1"/>
  <c r="L13" i="1"/>
  <c r="K13" i="1"/>
  <c r="J13" i="1"/>
  <c r="N10" i="1"/>
  <c r="M10" i="1"/>
  <c r="L10" i="1"/>
  <c r="K10" i="1"/>
  <c r="J10" i="1"/>
  <c r="O10" i="1" l="1"/>
  <c r="O16" i="1"/>
  <c r="O13" i="1"/>
  <c r="O17" i="1" l="1"/>
  <c r="K23" i="1"/>
  <c r="O24" i="1" s="1"/>
  <c r="K64" i="8" l="1"/>
  <c r="G65" i="8"/>
  <c r="J64" i="8"/>
  <c r="O64" i="8" l="1"/>
  <c r="O68" i="8" s="1"/>
  <c r="C66" i="8"/>
  <c r="C67" i="8" s="1"/>
  <c r="D68" i="8" s="1"/>
  <c r="D17" i="1" s="1"/>
  <c r="D18" i="1" s="1"/>
  <c r="D32" i="1" s="1"/>
  <c r="L33" i="1" l="1"/>
  <c r="D33" i="1" s="1"/>
  <c r="A36" i="1" s="1"/>
  <c r="D36" i="1" l="1"/>
  <c r="G36" i="1" s="1"/>
  <c r="A40" i="1" s="1"/>
  <c r="E40" i="1" s="1"/>
</calcChain>
</file>

<file path=xl/sharedStrings.xml><?xml version="1.0" encoding="utf-8"?>
<sst xmlns="http://schemas.openxmlformats.org/spreadsheetml/2006/main" count="1437" uniqueCount="289">
  <si>
    <t>Performance</t>
  </si>
  <si>
    <t>Alabama</t>
  </si>
  <si>
    <t>Alaska</t>
  </si>
  <si>
    <t>American Samoa</t>
  </si>
  <si>
    <t>Arizona</t>
  </si>
  <si>
    <t>Arkansas</t>
  </si>
  <si>
    <t>BIE</t>
  </si>
  <si>
    <t>California</t>
  </si>
  <si>
    <t>Colorado</t>
  </si>
  <si>
    <t>Connecticut</t>
  </si>
  <si>
    <t>CNMI</t>
  </si>
  <si>
    <t>Delaware</t>
  </si>
  <si>
    <t>District of Columbia</t>
  </si>
  <si>
    <t xml:space="preserve">Federated States of Micronesia </t>
  </si>
  <si>
    <t>Florida</t>
  </si>
  <si>
    <t>Georgia</t>
  </si>
  <si>
    <t>Guam</t>
  </si>
  <si>
    <t>Hawaii</t>
  </si>
  <si>
    <t>Idaho</t>
  </si>
  <si>
    <t>Illinois</t>
  </si>
  <si>
    <t>Indiana</t>
  </si>
  <si>
    <t>Iowa</t>
  </si>
  <si>
    <t>Kansas</t>
  </si>
  <si>
    <t>Kentucky</t>
  </si>
  <si>
    <t>Louisiana</t>
  </si>
  <si>
    <t>Maine</t>
  </si>
  <si>
    <t>Marshall Islands</t>
  </si>
  <si>
    <t>Customer Service: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</si>
  <si>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</si>
  <si>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</si>
  <si>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</si>
  <si>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</si>
  <si>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</si>
  <si>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</si>
  <si>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</si>
  <si>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</si>
  <si>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</si>
  <si>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</si>
  <si>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</si>
  <si>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</si>
  <si>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</si>
  <si>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</si>
  <si>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</si>
  <si>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</si>
  <si>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</si>
  <si>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</si>
  <si>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Palau</t>
  </si>
  <si>
    <t>Pennsylvania</t>
  </si>
  <si>
    <t>Puerto Rico</t>
  </si>
  <si>
    <t>Rhode Island</t>
  </si>
  <si>
    <t>South Carolina</t>
  </si>
  <si>
    <t>South Dakota</t>
  </si>
  <si>
    <t>Tennessee</t>
  </si>
  <si>
    <t>Texas</t>
  </si>
  <si>
    <t>Utah</t>
  </si>
  <si>
    <t>Vermont</t>
  </si>
  <si>
    <t>Virginia</t>
  </si>
  <si>
    <t>Virgin Islands</t>
  </si>
  <si>
    <t>Washington</t>
  </si>
  <si>
    <t>West Virginia</t>
  </si>
  <si>
    <t>Wisconsin</t>
  </si>
  <si>
    <t>Wyoming</t>
  </si>
  <si>
    <t>[select STATE]</t>
  </si>
  <si>
    <t>Part C Results-Driven Accountability Matrix: 2015</t>
  </si>
  <si>
    <t>Outcome 1 SS1</t>
  </si>
  <si>
    <t>Summary Statement (SS)</t>
  </si>
  <si>
    <t>Outcome 2 SS2</t>
  </si>
  <si>
    <t>Outcome 1 SS2</t>
  </si>
  <si>
    <t>Outcome 2 SS1</t>
  </si>
  <si>
    <t>Outcome 3 SS1</t>
  </si>
  <si>
    <t>Total Results Points Available</t>
  </si>
  <si>
    <t>Results Score</t>
  </si>
  <si>
    <t>Total Compliance Points Available</t>
  </si>
  <si>
    <t>Compliance Score</t>
  </si>
  <si>
    <t xml:space="preserve">Outcome A </t>
  </si>
  <si>
    <t>Category a</t>
  </si>
  <si>
    <t>Category b</t>
  </si>
  <si>
    <t>Category c</t>
  </si>
  <si>
    <t xml:space="preserve">Category d </t>
  </si>
  <si>
    <t>Category e</t>
  </si>
  <si>
    <t xml:space="preserve">Outcome B </t>
  </si>
  <si>
    <t xml:space="preserve">Performance  </t>
  </si>
  <si>
    <t xml:space="preserve">Outcome C </t>
  </si>
  <si>
    <t>Outcome 3                SS2</t>
  </si>
  <si>
    <t>Score</t>
  </si>
  <si>
    <t>N/A</t>
  </si>
  <si>
    <t>Lower than 34%</t>
  </si>
  <si>
    <t>34% through 69%</t>
  </si>
  <si>
    <t>70% and above</t>
  </si>
  <si>
    <t>Category d</t>
  </si>
  <si>
    <t>Percentiles</t>
  </si>
  <si>
    <t xml:space="preserve">Part C Compliance Matrix </t>
  </si>
  <si>
    <r>
      <t>Part C Compliance Indicator</t>
    </r>
    <r>
      <rPr>
        <b/>
        <vertAlign val="superscript"/>
        <sz val="26"/>
        <color indexed="8"/>
        <rFont val="Times New Roman"/>
        <family val="1"/>
      </rPr>
      <t>1</t>
    </r>
  </si>
  <si>
    <t>Full Correction of Findings of Noncompliance Identified in FFY 2012</t>
  </si>
  <si>
    <r>
      <t xml:space="preserve">Indicator 1: </t>
    </r>
    <r>
      <rPr>
        <sz val="22"/>
        <color indexed="8"/>
        <rFont val="Times New Roman"/>
        <family val="1"/>
      </rPr>
      <t>Timely service provision</t>
    </r>
  </si>
  <si>
    <t>Y</t>
  </si>
  <si>
    <r>
      <t xml:space="preserve">Indicator 7: </t>
    </r>
    <r>
      <rPr>
        <sz val="22"/>
        <color indexed="8"/>
        <rFont val="Times New Roman"/>
        <family val="1"/>
      </rPr>
      <t>45-day timeline</t>
    </r>
  </si>
  <si>
    <r>
      <t xml:space="preserve">Indicator 8A: </t>
    </r>
    <r>
      <rPr>
        <sz val="22"/>
        <color indexed="8"/>
        <rFont val="Times New Roman"/>
        <family val="1"/>
      </rPr>
      <t>Timely transition plan</t>
    </r>
  </si>
  <si>
    <r>
      <t xml:space="preserve">Indicator 8B:  </t>
    </r>
    <r>
      <rPr>
        <sz val="22"/>
        <color indexed="8"/>
        <rFont val="Times New Roman"/>
        <family val="1"/>
      </rPr>
      <t>T</t>
    </r>
    <r>
      <rPr>
        <sz val="22"/>
        <color indexed="8"/>
        <rFont val="Times New Roman"/>
        <family val="1"/>
      </rPr>
      <t>ransition notification</t>
    </r>
  </si>
  <si>
    <r>
      <t xml:space="preserve">Indicator 8C:  </t>
    </r>
    <r>
      <rPr>
        <sz val="22"/>
        <color indexed="8"/>
        <rFont val="Times New Roman"/>
        <family val="1"/>
      </rPr>
      <t>T</t>
    </r>
    <r>
      <rPr>
        <sz val="22"/>
        <color indexed="8"/>
        <rFont val="Times New Roman"/>
        <family val="1"/>
      </rPr>
      <t>imely transition conference</t>
    </r>
  </si>
  <si>
    <t>Timely State Complaint Decisions</t>
  </si>
  <si>
    <t>Timely Due Process Hearing Decisions</t>
  </si>
  <si>
    <t>Longstanding Noncompliance</t>
  </si>
  <si>
    <t>Special Conditions</t>
  </si>
  <si>
    <t>NONE</t>
  </si>
  <si>
    <t>Uncorrected identified noncompliance</t>
  </si>
  <si>
    <t>Total Compliance Score</t>
  </si>
  <si>
    <t>Compliance Points Earned</t>
  </si>
  <si>
    <t>1. The complete language for each indicator is located in the Part C Indicator Measurement Table. https://osep.grads360.org/#communities/pdc/documents/4604</t>
  </si>
  <si>
    <t>Timely and Accurate State-Reported Data</t>
  </si>
  <si>
    <t>RESULTS AND COMPLIANCE OVERALL SCORING</t>
  </si>
  <si>
    <t>I. Results Component - Data Quality</t>
  </si>
  <si>
    <t>Summary Statement Performance FFY 2013</t>
  </si>
  <si>
    <t>Summary Statement Performance FFY 2012</t>
  </si>
  <si>
    <t>AK</t>
  </si>
  <si>
    <t>AL</t>
  </si>
  <si>
    <t>AR</t>
  </si>
  <si>
    <t>AS</t>
  </si>
  <si>
    <t>AZ</t>
  </si>
  <si>
    <t>CA</t>
  </si>
  <si>
    <t>CO</t>
  </si>
  <si>
    <t>CT</t>
  </si>
  <si>
    <t>DC</t>
  </si>
  <si>
    <t>DE</t>
  </si>
  <si>
    <t>FL</t>
  </si>
  <si>
    <t>GA</t>
  </si>
  <si>
    <t>GU</t>
  </si>
  <si>
    <t>HI</t>
  </si>
  <si>
    <t>IA</t>
  </si>
  <si>
    <t>ID</t>
  </si>
  <si>
    <t>IL</t>
  </si>
  <si>
    <t>IN</t>
  </si>
  <si>
    <t>KS</t>
  </si>
  <si>
    <t>KY</t>
  </si>
  <si>
    <t>LA</t>
  </si>
  <si>
    <t>MA</t>
  </si>
  <si>
    <t>MD</t>
  </si>
  <si>
    <t>ME</t>
  </si>
  <si>
    <t>MI</t>
  </si>
  <si>
    <t>MN</t>
  </si>
  <si>
    <t>MO</t>
  </si>
  <si>
    <t>MP</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</si>
  <si>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</si>
  <si>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</si>
  <si>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</si>
  <si>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</si>
  <si>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</si>
  <si>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</si>
  <si>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</si>
  <si>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</si>
  <si>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</si>
  <si>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</si>
  <si>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</si>
  <si>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</si>
  <si>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</si>
  <si>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</si>
  <si>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</si>
  <si>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</si>
  <si>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</si>
  <si>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</si>
  <si>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</si>
  <si>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</si>
  <si>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</si>
  <si>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</si>
  <si>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</si>
  <si>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</si>
  <si>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</si>
  <si>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</si>
  <si>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</si>
  <si>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</si>
  <si>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t>Summary Statement 1</t>
  </si>
  <si>
    <t>Summary Statement 2</t>
  </si>
  <si>
    <t>Child Outcome</t>
  </si>
  <si>
    <t>Outcome A: Positive Social Relationships</t>
  </si>
  <si>
    <t>Outcome B: Knowledge and Skills</t>
  </si>
  <si>
    <t>Outcome C: Actions to meet needs</t>
  </si>
  <si>
    <t>Total</t>
  </si>
  <si>
    <t xml:space="preserve">Outcome A: Positive Social Relationships </t>
  </si>
  <si>
    <t xml:space="preserve">Outcome B: Knowledge and Skills </t>
  </si>
  <si>
    <t>Outcome C: Actions to Meet Needs</t>
  </si>
  <si>
    <t>2012-13 N</t>
  </si>
  <si>
    <t>2012-13 Summary Statement</t>
  </si>
  <si>
    <t>2013-14 N</t>
  </si>
  <si>
    <t>2013-14 Summary Statement</t>
  </si>
  <si>
    <t>Difference between Percentages</t>
  </si>
  <si>
    <t>Std Error</t>
  </si>
  <si>
    <t>z value</t>
  </si>
  <si>
    <t>p-value</t>
  </si>
  <si>
    <t>p&lt;=.05</t>
  </si>
  <si>
    <t>Increase or no change (1) Decrease (0)</t>
  </si>
  <si>
    <t xml:space="preserve">                Score
0 = significant decrease
1 = no significant change 
2 = significant increase</t>
  </si>
  <si>
    <t>Note: because the SS was 100% both years it is not possible to compute the significance of the difference percentage</t>
  </si>
  <si>
    <t>4 through 7</t>
  </si>
  <si>
    <t>8 through highest</t>
  </si>
  <si>
    <t>Lowest score through 3</t>
  </si>
  <si>
    <t>Cut Points for Change Over Time in Summary Statements Total Score</t>
  </si>
  <si>
    <t>Indicator 3 Overall Performance Change Score</t>
  </si>
  <si>
    <t>Test of Proportional Difference</t>
  </si>
  <si>
    <t>Number of Children Reported in Indicator C3 (i.e. outcome data)</t>
  </si>
  <si>
    <t>Number of Children Reported Exiting in 618 Data (i.e. 618 exiting data)</t>
  </si>
  <si>
    <t>II. Results Component - Child Performance</t>
  </si>
  <si>
    <t>State Performance</t>
  </si>
  <si>
    <t>Performance %</t>
  </si>
  <si>
    <t>Performance  %</t>
  </si>
  <si>
    <t>Number of infants and toddlers with IFSPs assessed in your State</t>
  </si>
  <si>
    <t>0 through 9 points</t>
  </si>
  <si>
    <t>10 through 12 points</t>
  </si>
  <si>
    <t>13 through 15 points</t>
  </si>
  <si>
    <t>I. (a) Data Completeness: The Percent of Children Included in your State's 2013 Outcomes Data (Indicator C3)</t>
  </si>
  <si>
    <t>Your State's Performance Score Compared to Other States</t>
  </si>
  <si>
    <t>II. (b) Comparing Your State's FFY 2013 Data to Your State's FFY 2012 Data</t>
  </si>
  <si>
    <t>Scoring Percentages for the 10th and 90th Percentile for Each Outcome and Summary Statement, FFY 2013</t>
  </si>
  <si>
    <t>Total Score</t>
  </si>
  <si>
    <t>Total Points Across SS1 and SS3</t>
  </si>
  <si>
    <t>II. (a) Comparing Your State's 2013 Outcomes Data to Other States 2013 Outcomes Data</t>
  </si>
  <si>
    <t>Performance Change Score</t>
  </si>
  <si>
    <t>Data Anomalies Score</t>
  </si>
  <si>
    <t>Data Completeness Score</t>
  </si>
  <si>
    <t>Total Points Received in All Progress Categories</t>
  </si>
  <si>
    <t>Percent of Children Exiting who are included in outcome data</t>
  </si>
  <si>
    <r>
      <t>II. (c) Child Performance Total Score</t>
    </r>
    <r>
      <rPr>
        <b/>
        <sz val="16"/>
        <color theme="1"/>
        <rFont val="Times New Roman"/>
        <family val="1"/>
      </rPr>
      <t xml:space="preserve"> (II.a.+II.b.)</t>
    </r>
  </si>
  <si>
    <r>
      <t>I. (c)   Data Quality Total Score</t>
    </r>
    <r>
      <rPr>
        <b/>
        <sz val="16"/>
        <color theme="1"/>
        <rFont val="Times New Roman"/>
        <family val="1"/>
      </rPr>
      <t xml:space="preserve"> (I.a.+I.b.)</t>
    </r>
  </si>
  <si>
    <r>
      <t>Data Completeness Score</t>
    </r>
    <r>
      <rPr>
        <vertAlign val="superscript"/>
        <sz val="22"/>
        <color theme="1"/>
        <rFont val="Times New Roman"/>
        <family val="1"/>
      </rPr>
      <t xml:space="preserve">1 </t>
    </r>
  </si>
  <si>
    <r>
      <t>Data Anomalies Score</t>
    </r>
    <r>
      <rPr>
        <vertAlign val="superscript"/>
        <sz val="22"/>
        <color theme="1"/>
        <rFont val="Times New Roman"/>
        <family val="1"/>
      </rPr>
      <t>2</t>
    </r>
  </si>
  <si>
    <r>
      <t>Data Comparison Score</t>
    </r>
    <r>
      <rPr>
        <vertAlign val="superscript"/>
        <sz val="22"/>
        <color theme="1"/>
        <rFont val="Times New Roman"/>
        <family val="1"/>
      </rPr>
      <t>3</t>
    </r>
  </si>
  <si>
    <r>
      <t xml:space="preserve"> Performance Change Score</t>
    </r>
    <r>
      <rPr>
        <vertAlign val="superscript"/>
        <sz val="22"/>
        <color theme="1"/>
        <rFont val="Times New Roman"/>
        <family val="1"/>
      </rPr>
      <t>4</t>
    </r>
  </si>
  <si>
    <r>
      <t>Results Points Earned</t>
    </r>
    <r>
      <rPr>
        <b/>
        <vertAlign val="superscript"/>
        <sz val="26"/>
        <color theme="1"/>
        <rFont val="Times New Roman"/>
        <family val="1"/>
      </rPr>
      <t>5</t>
    </r>
  </si>
  <si>
    <r>
      <t>Compliance Points Earned</t>
    </r>
    <r>
      <rPr>
        <b/>
        <vertAlign val="superscript"/>
        <sz val="26"/>
        <color theme="1"/>
        <rFont val="Times New Roman"/>
        <family val="1"/>
      </rPr>
      <t>6</t>
    </r>
  </si>
  <si>
    <r>
      <t>Results-Driven Accountability Percentage and Determination</t>
    </r>
    <r>
      <rPr>
        <b/>
        <vertAlign val="superscript"/>
        <sz val="36"/>
        <color theme="1"/>
        <rFont val="Times New Roman"/>
        <family val="1"/>
      </rPr>
      <t>7</t>
    </r>
  </si>
  <si>
    <t>1. Review the "Data Completeness" tab within this workbook for a detailed description of this calculation</t>
  </si>
  <si>
    <t>2. Review the "Data Anomalies" tab within this workbook for a detailed description of this calculation.</t>
  </si>
  <si>
    <t>3. Review the "Data Comparison" tab within this workbook for a detailed description of this calculation.</t>
  </si>
  <si>
    <t>4. Review the "Performance Change Over Time" tab within this workbook for a detailed description of this calculation.</t>
  </si>
  <si>
    <t xml:space="preserve">5. Review the "Explanatory Notes" tab within this workbook for additional information on results calculations. </t>
  </si>
  <si>
    <t>6. Review the "Compliance Matrix Part C" tab within this workbook to view a breakdown of the compliance points earned.</t>
  </si>
  <si>
    <t>Outcome A SS1</t>
  </si>
  <si>
    <t>Outcome A SS2</t>
  </si>
  <si>
    <t>Outcome B SS1</t>
  </si>
  <si>
    <t>Outcome B SS2</t>
  </si>
  <si>
    <t>Outcome C SS1</t>
  </si>
  <si>
    <t>Outcome A: Positive Social Relationships SS1</t>
  </si>
  <si>
    <t>Outcome A: Positive Social Relationships SS2</t>
  </si>
  <si>
    <t>Outcome B: Knowledge and Skills SS1</t>
  </si>
  <si>
    <t>Outcome B: Knowledge and Skills SS2</t>
  </si>
  <si>
    <t>Outcome C: Actions to meet needs SS1</t>
  </si>
  <si>
    <t>Percent of Part C Children include in Outcomes Data (C3) and 618 Data</t>
  </si>
  <si>
    <t>Outcome A</t>
  </si>
  <si>
    <t>Positive Social Relationships</t>
  </si>
  <si>
    <t>Outcome B</t>
  </si>
  <si>
    <t>Knowledge and Skills</t>
  </si>
  <si>
    <t>Outcome C</t>
  </si>
  <si>
    <t>Actions to Meet Needs</t>
  </si>
  <si>
    <t>Percent of infants and toddlers who did not improve functioning</t>
  </si>
  <si>
    <t>Percent of infants and toddlers who improved functioning but not sufficient to move nearer to functioning comparable to same-aged peers</t>
  </si>
  <si>
    <t xml:space="preserve"> Percent of infants and toddlers who improved functioning to a level nearer to same-aged peers but did not reach it</t>
  </si>
  <si>
    <t>Percent of infants and toddlers who improved functioning to reach a level comparable to same-aged peers</t>
  </si>
  <si>
    <t>Percent of infants and toddlers who maintained functioning at a level comparable to same-aged peers</t>
  </si>
  <si>
    <t>Low and High Scoring Percentages for Categories a-e</t>
  </si>
  <si>
    <t>Points</t>
  </si>
  <si>
    <t xml:space="preserve">Total Points Outcome A </t>
  </si>
  <si>
    <t>Total Points Outcome B</t>
  </si>
  <si>
    <t>Total Points Outcome C</t>
  </si>
  <si>
    <t>Total Points Outcomes A-C</t>
  </si>
  <si>
    <t>Outcome C SS2</t>
  </si>
  <si>
    <t>0 through 4 points</t>
  </si>
  <si>
    <t>5 through 8 points</t>
  </si>
  <si>
    <t>9 through 12 points</t>
  </si>
  <si>
    <t>Total Points Across SS1 and SS2</t>
  </si>
  <si>
    <t xml:space="preserve">Outcome </t>
  </si>
  <si>
    <t>Category</t>
  </si>
  <si>
    <t>Mean</t>
  </si>
  <si>
    <t>StDev</t>
  </si>
  <si>
    <t>a</t>
  </si>
  <si>
    <t>Outcome</t>
  </si>
  <si>
    <t>b</t>
  </si>
  <si>
    <t>c</t>
  </si>
  <si>
    <t>d</t>
  </si>
  <si>
    <t>e</t>
  </si>
  <si>
    <t>I. (b) Data Anomalies:  Anomalies in Your State's FFY 2013 Outcomes Data.</t>
  </si>
  <si>
    <t>II. (a) Comparing Your State's 2013 Outcomes Data to Other States' 2013 Outcomes Data</t>
  </si>
  <si>
    <t>Data Quality:  Anomalies in Your State's FFY 2013 Outcomes Data</t>
  </si>
  <si>
    <t>Summary Statement 1: Of those infants and toddlers who entered or exited early intervention below age expectations in each Outcome, the percent who substantially increased their rate of growth by the time they turned 3 years of age or exited the program.</t>
  </si>
  <si>
    <t>Summary Statement 2: The percent of infants and toddlers who were functioning within age expectations in each Outcome by the time they turned 3 years of age or exited the program.</t>
  </si>
  <si>
    <t>II.(b) Comparing Your State's FFY 2013 Data to Your State's FFY 2012 Data</t>
  </si>
  <si>
    <t xml:space="preserve">The Summary Statement percentages in each Outcomes Area from the previous year’s reporting (FFY 2012) is compared to the current year (FFY 2013) using  the test of proportional difference to determine whether there is a statistically significant (or meaningful) growth or decline in child achievement based upon a significance level of p&lt;=.05.  The data in each Outcome Area is assigned a value of 0 if there was a statistically significant decrease from one year to the next, a value of 1 if there was no significant change, and a value of 2 if there was a statistically significant increase across the years. The scores from all 6 Outcome Areas  are totaled, resulting in a score from 0 – 12. 
</t>
  </si>
  <si>
    <t>I. (b) Data Quality:  Anomalies in Your State's FFY 2013 Outcomes Data.</t>
  </si>
  <si>
    <t xml:space="preserve">This score represents a summary of the data anomalies in the FFY 2013 Indicator 3 Outcomes Data reported by your State.  Previous publicly available data reported by and across all States for each of 15 progress categories under Indicator 3 (in the FFY 2009 – FFY 2012 APRs) were used to determine an expected range of responses for each progress category under Outcomes A, B, and C.  For each of the 15 progress categories, a mean was calculated using the publicly available data and a lower and upper scoring percentage was set 1 standard deviation above and below the mean for category a and 2 standard deviations above and below the mean for categories b through e.   In any case where the low scoring percentage set from 1 or 2 standard deviations below the mean resulted in a negative number, the low scoring percentage is equal to 0.
If your State's FFY 2013 data reported in a progress category fell below the calculated "low percentage" or above the "high percentage" for that progress category for all States, the data in that particular category are statistically improbable outliers and considered an anomaly for that progress category.  If your State’s data in a particular progress category was identified as an anomaly, the State received a 0 for that category.  A percentage that is equal to or between the low percentage and high percentage for each progress category received 1 point.   A State could receive a total number of points between 0 and 15.  Thus, a point total of 0 indicates that all 15 progress categories contained data anomalies and a point total of 15 indicates that there were no data anomalies in all 15 progress categories in the State's data.  An overall data anomalies score of 0, 1, or 2 is based on the total points awarded.
</t>
  </si>
  <si>
    <t xml:space="preserve">This score represents how your State's FFY 2013 Outcomes data compares to other States' FFY 2013 Outcomes Data.  Your State received a score for the distribution of the 6 Summary Statements for your State compared to the distribution of the 6 Summary Statements in all other States. The 10th and 90th percentile for each of the 6 Summary Statements was identified and used to assign points to performance outcome data for each Summary Statement. Each Summary Statement outcome was assigned  0, 1, or 2 points.  If your State's Summary Statement value fell at or below the 10th percentile, that Summary Statement was assigned 0 points.  If your State's Summary Statement value fell between the 10th and 90th percentile, the Summary Statement was assigned  1 point, and  if your State's Summary Statement  value fell at or above the 90th percentile the Summary Statement was assigned 2 points.  The points were added up across the 6 Summary Statements.  A State can receive a total number of points between 0 and 12, with 0 points indicating all 6 Summary Statement values were at or below the 10th percentile and  12 points indicating all 6 Summary Statements were at or above the 90th percentile.  An overall comparison Summary Statement score of 0, 1, or 2 was based on the total points awarded.
</t>
  </si>
  <si>
    <t>7. For a detailed explanation of how the Compliance Score, Results Score, and the Results-Driven Accountability Percentage and Determination were calculated, review "How the Department Made Determinations under Section 616(d) and 642 of the Individuals with Disabilities Education Act in 2015: Part 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</si>
</sst>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
  </numFmts>
  <fonts count="42" x14ac:knownFonts="1">
    <font>
      <sz val="11"/>
      <color theme="1"/>
      <name val="Calibri"/>
      <family val="2"/>
      <scheme val="minor"/>
    </font>
    <font>
      <sz val="14"/>
      <color theme="1"/>
      <name val="Times New Roman"/>
      <family val="1"/>
    </font>
    <font>
      <sz val="28"/>
      <color theme="1"/>
      <name val="Calibri"/>
      <family val="2"/>
      <scheme val="minor"/>
    </font>
    <font>
      <b/>
      <sz val="26"/>
      <color rgb="FF000000"/>
      <name val="Times New Roman"/>
      <family val="1"/>
    </font>
    <font>
      <sz val="20"/>
      <color theme="1"/>
      <name val="Calibri"/>
      <family val="2"/>
      <scheme val="minor"/>
    </font>
    <font>
      <b/>
      <sz val="30"/>
      <color theme="1"/>
      <name val="Times New Roman"/>
      <family val="1"/>
    </font>
    <font>
      <sz val="22"/>
      <color theme="1"/>
      <name val="Times New Roman"/>
      <family val="1"/>
    </font>
    <font>
      <b/>
      <sz val="26"/>
      <color theme="1"/>
      <name val="Times New Roman"/>
      <family val="1"/>
    </font>
    <font>
      <sz val="26"/>
      <color theme="1"/>
      <name val="Times New Roman"/>
      <family val="1"/>
    </font>
    <font>
      <b/>
      <sz val="36"/>
      <color theme="1"/>
      <name val="Times New Roman"/>
      <family val="1"/>
    </font>
    <font>
      <b/>
      <sz val="22"/>
      <color theme="1"/>
      <name val="Times New Roman"/>
      <family val="1"/>
    </font>
    <font>
      <b/>
      <vertAlign val="superscript"/>
      <sz val="26"/>
      <color theme="1"/>
      <name val="Times New Roman"/>
      <family val="1"/>
    </font>
    <font>
      <u/>
      <sz val="11"/>
      <color theme="10"/>
      <name val="Calibri"/>
      <family val="2"/>
      <scheme val="minor"/>
    </font>
    <font>
      <b/>
      <vertAlign val="superscript"/>
      <sz val="36"/>
      <color theme="1"/>
      <name val="Times New Roman"/>
      <family val="1"/>
    </font>
    <font>
      <b/>
      <sz val="14"/>
      <color theme="1"/>
      <name val="Calibri"/>
      <family val="2"/>
      <scheme val="minor"/>
    </font>
    <font>
      <sz val="16"/>
      <color theme="1"/>
      <name val="Times New Roman"/>
      <family val="1"/>
    </font>
    <font>
      <u/>
      <sz val="20"/>
      <color theme="10"/>
      <name val="Times New Roman"/>
      <family val="1"/>
    </font>
    <font>
      <b/>
      <sz val="28"/>
      <color theme="1"/>
      <name val="Times New Roman"/>
      <family val="1"/>
    </font>
    <font>
      <b/>
      <vertAlign val="superscript"/>
      <sz val="26"/>
      <color indexed="8"/>
      <name val="Times New Roman"/>
      <family val="1"/>
    </font>
    <font>
      <b/>
      <sz val="22"/>
      <color rgb="FF000000"/>
      <name val="Times New Roman"/>
      <family val="1"/>
    </font>
    <font>
      <sz val="22"/>
      <color indexed="8"/>
      <name val="Times New Roman"/>
      <family val="1"/>
    </font>
    <font>
      <sz val="22"/>
      <color theme="0" tint="-0.249977111117893"/>
      <name val="Calibri"/>
      <family val="2"/>
      <scheme val="minor"/>
    </font>
    <font>
      <sz val="22"/>
      <color theme="0" tint="-0.249977111117893"/>
      <name val="Times New Roman"/>
      <family val="1"/>
    </font>
    <font>
      <sz val="11"/>
      <color rgb="FF000000"/>
      <name val="Calibri"/>
      <family val="2"/>
      <scheme val="minor"/>
    </font>
    <font>
      <b/>
      <sz val="22"/>
      <color indexed="8"/>
      <name val="Times New Roman"/>
      <family val="1"/>
    </font>
    <font>
      <b/>
      <sz val="24"/>
      <color theme="1"/>
      <name val="Times New Roman"/>
      <family val="1"/>
    </font>
    <font>
      <b/>
      <sz val="11"/>
      <color theme="1"/>
      <name val="Calibri"/>
      <family val="2"/>
      <scheme val="minor"/>
    </font>
    <font>
      <b/>
      <sz val="10"/>
      <color theme="1"/>
      <name val="Arial"/>
      <family val="2"/>
    </font>
    <font>
      <sz val="11"/>
      <name val="Calibri"/>
      <family val="2"/>
      <scheme val="minor"/>
    </font>
    <font>
      <b/>
      <sz val="22"/>
      <color theme="1"/>
      <name val="Calibri"/>
      <family val="2"/>
      <scheme val="minor"/>
    </font>
    <font>
      <sz val="14"/>
      <color theme="1"/>
      <name val="Calibri"/>
      <family val="2"/>
      <scheme val="minor"/>
    </font>
    <font>
      <b/>
      <sz val="12"/>
      <color theme="1"/>
      <name val="Times New Roman"/>
      <family val="1"/>
    </font>
    <font>
      <b/>
      <sz val="28"/>
      <color rgb="FF000000"/>
      <name val="Times New Roman"/>
      <family val="1"/>
    </font>
    <font>
      <b/>
      <sz val="16"/>
      <color theme="1"/>
      <name val="Times New Roman"/>
      <family val="1"/>
    </font>
    <font>
      <sz val="28"/>
      <color theme="1"/>
      <name val="Times New Roman"/>
      <family val="1"/>
    </font>
    <font>
      <sz val="18"/>
      <color theme="1"/>
      <name val="Times New Roman"/>
      <family val="1"/>
    </font>
    <font>
      <sz val="14"/>
      <color theme="1"/>
      <name val="Calibri"/>
      <family val="2"/>
    </font>
    <font>
      <sz val="12"/>
      <color theme="1"/>
      <name val="Calibri"/>
      <family val="2"/>
      <scheme val="minor"/>
    </font>
    <font>
      <vertAlign val="superscript"/>
      <sz val="22"/>
      <color theme="1"/>
      <name val="Times New Roman"/>
      <family val="1"/>
    </font>
    <font>
      <u/>
      <sz val="18"/>
      <color theme="10"/>
      <name val="Times New Roman"/>
      <family val="1"/>
    </font>
    <font>
      <sz val="14"/>
      <name val="Calibri"/>
      <family val="2"/>
      <scheme val="minor"/>
    </font>
    <font>
      <sz val="14"/>
      <color rgb="FF000000"/>
      <name val="Calibri"/>
      <family val="2"/>
      <scheme val="minor"/>
    </font>
  </fonts>
  <fills count="20">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4" tint="0.79998168889431442"/>
        <bgColor indexed="64"/>
      </patternFill>
    </fill>
    <fill>
      <gradientFill degree="90">
        <stop position="0">
          <color theme="0"/>
        </stop>
        <stop position="1">
          <color theme="5" tint="0.40000610370189521"/>
        </stop>
      </gradientFill>
    </fill>
    <fill>
      <patternFill patternType="solid">
        <fgColor rgb="FF00B050"/>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3" tint="0.39994506668294322"/>
        <bgColor indexed="64"/>
      </patternFill>
    </fill>
    <fill>
      <patternFill patternType="solid">
        <fgColor rgb="FFFF0000"/>
        <bgColor indexed="64"/>
      </patternFill>
    </fill>
    <fill>
      <patternFill patternType="solid">
        <fgColor theme="4" tint="0.59996337778862885"/>
        <bgColor indexed="64"/>
      </patternFill>
    </fill>
    <fill>
      <patternFill patternType="solid">
        <fgColor rgb="FFFFFF00"/>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auto="1"/>
      </left>
      <right style="thin">
        <color auto="1"/>
      </right>
      <top/>
      <bottom style="thin">
        <color indexed="64"/>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diagonal/>
    </border>
    <border>
      <left style="thin">
        <color auto="1"/>
      </left>
      <right/>
      <top/>
      <bottom style="thin">
        <color indexed="64"/>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
      <left style="thin">
        <color auto="1"/>
      </left>
      <right style="thin">
        <color auto="1"/>
      </right>
      <top/>
      <bottom style="thin">
        <color indexed="64"/>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medium">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medium">
        <color auto="1"/>
      </top>
      <bottom/>
      <diagonal/>
    </border>
    <border>
      <left/>
      <right/>
      <top/>
      <bottom style="thin">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style="medium">
        <color auto="1"/>
      </right>
      <top/>
      <bottom/>
      <diagonal/>
    </border>
    <border>
      <left style="medium">
        <color indexed="64"/>
      </left>
      <right style="medium">
        <color auto="1"/>
      </right>
      <top/>
      <bottom style="medium">
        <color indexed="64"/>
      </bottom>
      <diagonal/>
    </border>
    <border>
      <left style="medium">
        <color auto="1"/>
      </left>
      <right style="thin">
        <color auto="1"/>
      </right>
      <top style="medium">
        <color auto="1"/>
      </top>
      <bottom/>
      <diagonal/>
    </border>
    <border>
      <left/>
      <right style="thin">
        <color auto="1"/>
      </right>
      <top/>
      <bottom/>
      <diagonal/>
    </border>
    <border>
      <left style="thin">
        <color auto="1"/>
      </left>
      <right style="thin">
        <color auto="1"/>
      </right>
      <top style="thick">
        <color auto="1"/>
      </top>
      <bottom style="thick">
        <color auto="1"/>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style="thick">
        <color auto="1"/>
      </bottom>
      <diagonal/>
    </border>
    <border>
      <left style="thin">
        <color auto="1"/>
      </left>
      <right/>
      <top style="thick">
        <color auto="1"/>
      </top>
      <bottom/>
      <diagonal/>
    </border>
    <border>
      <left/>
      <right/>
      <top style="thick">
        <color auto="1"/>
      </top>
      <bottom/>
      <diagonal/>
    </border>
    <border>
      <left style="thin">
        <color auto="1"/>
      </left>
      <right style="thin">
        <color auto="1"/>
      </right>
      <top/>
      <bottom style="thick">
        <color auto="1"/>
      </bottom>
      <diagonal/>
    </border>
    <border>
      <left style="thin">
        <color auto="1"/>
      </left>
      <right style="thin">
        <color auto="1"/>
      </right>
      <top style="thick">
        <color auto="1"/>
      </top>
      <bottom/>
      <diagonal/>
    </border>
  </borders>
  <cellStyleXfs count="2">
    <xf numFmtId="0" fontId="0" fillId="0" borderId="0"/>
    <xf numFmtId="0" fontId="12" fillId="0" borderId="0" applyNumberFormat="0" applyFill="0" applyBorder="0" applyAlignment="0" applyProtection="0"/>
  </cellStyleXfs>
  <cellXfs count="449">
    <xf numFmtId="0" fontId="0" fillId="0" borderId="0" xfId="0"/>
    <xf numFmtId="0" fontId="0" fillId="0" borderId="0" xfId="0" applyAlignment="1">
      <alignment horizontal="left" wrapText="1"/>
    </xf>
    <xf numFmtId="0" fontId="0" fillId="0" borderId="0" xfId="0" applyAlignment="1">
      <alignment horizontal="center" vertical="center"/>
    </xf>
    <xf numFmtId="0" fontId="2" fillId="0" borderId="0" xfId="0" applyFont="1"/>
    <xf numFmtId="0" fontId="0" fillId="0" borderId="0" xfId="0" applyAlignment="1">
      <alignment horizontal="left" wrapText="1"/>
    </xf>
    <xf numFmtId="0" fontId="0" fillId="0" borderId="0" xfId="0" applyAlignment="1">
      <alignment horizontal="center"/>
    </xf>
    <xf numFmtId="0" fontId="0" fillId="0" borderId="0" xfId="0" applyAlignment="1">
      <alignment vertical="top" wrapText="1"/>
    </xf>
    <xf numFmtId="0" fontId="0" fillId="0" borderId="0" xfId="0" applyAlignment="1">
      <alignment vertical="center"/>
    </xf>
    <xf numFmtId="0" fontId="0" fillId="0" borderId="0" xfId="0" applyAlignment="1">
      <alignment wrapText="1"/>
    </xf>
    <xf numFmtId="0" fontId="0" fillId="0" borderId="0" xfId="0" applyFill="1"/>
    <xf numFmtId="0" fontId="0" fillId="0" borderId="0" xfId="0"/>
    <xf numFmtId="0" fontId="6" fillId="0" borderId="1" xfId="0" applyFont="1" applyBorder="1" applyAlignment="1">
      <alignment vertical="center"/>
    </xf>
    <xf numFmtId="0" fontId="6" fillId="0" borderId="4" xfId="0" applyFont="1" applyBorder="1" applyAlignment="1">
      <alignment vertical="center"/>
    </xf>
    <xf numFmtId="0" fontId="6" fillId="5" borderId="2" xfId="0" applyFont="1" applyFill="1" applyBorder="1" applyAlignment="1">
      <alignment vertical="center"/>
    </xf>
    <xf numFmtId="0" fontId="6" fillId="0" borderId="1" xfId="0" applyFont="1" applyBorder="1" applyAlignment="1">
      <alignment horizontal="left" wrapText="1"/>
    </xf>
    <xf numFmtId="0" fontId="6" fillId="0" borderId="1" xfId="0" applyFont="1" applyBorder="1" applyAlignment="1">
      <alignment horizontal="center" vertical="center"/>
    </xf>
    <xf numFmtId="0" fontId="6" fillId="6" borderId="4" xfId="0" applyFont="1" applyFill="1" applyBorder="1" applyAlignment="1">
      <alignment horizontal="left" wrapText="1"/>
    </xf>
    <xf numFmtId="0" fontId="0" fillId="0" borderId="0" xfId="0" applyBorder="1"/>
    <xf numFmtId="0" fontId="0" fillId="6" borderId="4" xfId="0" applyFill="1" applyBorder="1"/>
    <xf numFmtId="0" fontId="0" fillId="6" borderId="4" xfId="0" applyFill="1" applyBorder="1" applyAlignment="1"/>
    <xf numFmtId="1" fontId="6" fillId="0" borderId="4" xfId="0" applyNumberFormat="1" applyFont="1" applyFill="1" applyBorder="1" applyAlignment="1">
      <alignment vertical="center" wrapText="1"/>
    </xf>
    <xf numFmtId="0" fontId="6" fillId="0" borderId="4" xfId="0" applyFont="1" applyBorder="1" applyAlignment="1">
      <alignment horizontal="left" wrapText="1"/>
    </xf>
    <xf numFmtId="0" fontId="6" fillId="5" borderId="2" xfId="0" applyFont="1" applyFill="1" applyBorder="1" applyAlignment="1">
      <alignment horizontal="left" vertical="center" wrapText="1"/>
    </xf>
    <xf numFmtId="0" fontId="17" fillId="2" borderId="2" xfId="0" applyFont="1" applyFill="1" applyBorder="1" applyAlignment="1" applyProtection="1">
      <alignment horizontal="right" vertical="center"/>
      <protection locked="0"/>
    </xf>
    <xf numFmtId="0" fontId="3" fillId="2" borderId="1" xfId="0" applyFont="1" applyFill="1" applyBorder="1" applyAlignment="1">
      <alignment horizontal="center" vertical="center" wrapText="1"/>
    </xf>
    <xf numFmtId="49" fontId="19" fillId="0" borderId="1" xfId="0" applyNumberFormat="1" applyFont="1" applyBorder="1" applyAlignment="1">
      <alignment vertical="center" wrapText="1"/>
    </xf>
    <xf numFmtId="10" fontId="19" fillId="0" borderId="1" xfId="0" applyNumberFormat="1" applyFont="1" applyBorder="1" applyAlignment="1" applyProtection="1">
      <alignment horizontal="center" vertical="center" wrapText="1"/>
      <protection locked="0"/>
    </xf>
    <xf numFmtId="0" fontId="19" fillId="0" borderId="1" xfId="0" applyFont="1" applyBorder="1" applyAlignment="1" applyProtection="1">
      <alignment horizontal="center" vertical="center"/>
      <protection locked="0"/>
    </xf>
    <xf numFmtId="0" fontId="10" fillId="8" borderId="1" xfId="0" applyFont="1" applyFill="1" applyBorder="1" applyAlignment="1">
      <alignment horizontal="center" vertical="center" wrapText="1"/>
    </xf>
    <xf numFmtId="164" fontId="21" fillId="2" borderId="1" xfId="0" applyNumberFormat="1" applyFont="1" applyFill="1" applyBorder="1" applyAlignment="1">
      <alignment horizontal="center" vertical="center"/>
    </xf>
    <xf numFmtId="49" fontId="19" fillId="0" borderId="1" xfId="0" applyNumberFormat="1" applyFont="1" applyBorder="1" applyAlignment="1">
      <alignment horizontal="left" vertical="center" wrapText="1"/>
    </xf>
    <xf numFmtId="0" fontId="19" fillId="0" borderId="1" xfId="0" applyFont="1" applyBorder="1" applyAlignment="1">
      <alignment horizontal="left" vertical="center" wrapText="1"/>
    </xf>
    <xf numFmtId="164" fontId="22" fillId="2" borderId="1"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pplyProtection="1">
      <alignment horizontal="center" vertical="center" wrapText="1"/>
      <protection locked="0"/>
    </xf>
    <xf numFmtId="164" fontId="21"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19" fillId="9" borderId="1" xfId="0" applyFont="1" applyFill="1" applyBorder="1" applyAlignment="1">
      <alignment horizontal="center" vertical="center" wrapText="1"/>
    </xf>
    <xf numFmtId="164" fontId="21" fillId="2" borderId="1" xfId="0" applyNumberFormat="1" applyFont="1" applyFill="1" applyBorder="1" applyAlignment="1">
      <alignment vertical="center" wrapText="1"/>
    </xf>
    <xf numFmtId="0" fontId="10" fillId="0" borderId="1" xfId="0" applyFont="1" applyFill="1" applyBorder="1" applyAlignment="1">
      <alignment horizontal="center" vertical="center" wrapText="1"/>
    </xf>
    <xf numFmtId="0" fontId="6" fillId="0" borderId="0" xfId="0" applyFont="1" applyAlignment="1">
      <alignment horizontal="center" vertical="center"/>
    </xf>
    <xf numFmtId="0" fontId="1" fillId="0" borderId="0" xfId="0" applyFont="1"/>
    <xf numFmtId="0" fontId="7" fillId="2"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10" borderId="1" xfId="0" applyFont="1" applyFill="1" applyBorder="1" applyAlignment="1">
      <alignment horizontal="center" vertical="center"/>
    </xf>
    <xf numFmtId="0" fontId="4" fillId="0" borderId="0" xfId="0" applyFont="1" applyAlignment="1">
      <alignment vertical="top"/>
    </xf>
    <xf numFmtId="0" fontId="15" fillId="0" borderId="0" xfId="0" applyFont="1" applyAlignment="1"/>
    <xf numFmtId="0" fontId="15" fillId="0" borderId="0" xfId="0" applyFont="1" applyAlignment="1">
      <alignment wrapText="1"/>
    </xf>
    <xf numFmtId="0" fontId="0" fillId="0" borderId="0" xfId="0" applyAlignment="1">
      <alignment horizontal="center" vertical="center" wrapText="1"/>
    </xf>
    <xf numFmtId="1" fontId="10" fillId="0" borderId="3" xfId="0" applyNumberFormat="1" applyFont="1" applyBorder="1" applyAlignment="1" applyProtection="1">
      <alignment horizontal="center" vertical="center" wrapText="1"/>
      <protection locked="0"/>
    </xf>
    <xf numFmtId="10" fontId="10" fillId="0" borderId="4" xfId="0" applyNumberFormat="1" applyFont="1" applyBorder="1" applyAlignment="1" applyProtection="1">
      <alignment horizontal="center" vertical="center"/>
      <protection locked="0"/>
    </xf>
    <xf numFmtId="10" fontId="10" fillId="0" borderId="1" xfId="0" applyNumberFormat="1" applyFont="1" applyBorder="1" applyAlignment="1" applyProtection="1">
      <alignment horizontal="center" vertical="center"/>
      <protection locked="0"/>
    </xf>
    <xf numFmtId="0" fontId="2" fillId="0" borderId="0" xfId="0" applyFont="1" applyProtection="1">
      <protection locked="0"/>
    </xf>
    <xf numFmtId="0" fontId="0" fillId="0" borderId="0" xfId="0" applyProtection="1">
      <protection locked="0"/>
    </xf>
    <xf numFmtId="10" fontId="10" fillId="0" borderId="9" xfId="0" applyNumberFormat="1" applyFont="1" applyBorder="1" applyAlignment="1" applyProtection="1">
      <alignment horizontal="center" vertical="center"/>
      <protection locked="0"/>
    </xf>
    <xf numFmtId="10" fontId="10" fillId="0" borderId="7" xfId="0" applyNumberFormat="1" applyFont="1" applyBorder="1" applyAlignment="1" applyProtection="1">
      <alignment horizontal="center" vertical="center"/>
      <protection locked="0"/>
    </xf>
    <xf numFmtId="49" fontId="24" fillId="0" borderId="1" xfId="0" applyNumberFormat="1" applyFont="1" applyBorder="1" applyAlignment="1">
      <alignment vertical="center" wrapText="1"/>
    </xf>
    <xf numFmtId="0" fontId="6" fillId="0" borderId="7" xfId="0" applyFont="1" applyBorder="1" applyAlignment="1">
      <alignment horizontal="left" vertical="center"/>
    </xf>
    <xf numFmtId="0" fontId="6" fillId="5" borderId="2" xfId="0" applyFont="1" applyFill="1" applyBorder="1" applyAlignment="1">
      <alignment horizontal="left" vertical="center" wrapText="1"/>
    </xf>
    <xf numFmtId="0" fontId="0" fillId="0" borderId="14" xfId="0" applyBorder="1" applyProtection="1">
      <protection locked="0"/>
    </xf>
    <xf numFmtId="0" fontId="26" fillId="0" borderId="0" xfId="0" applyFont="1" applyFill="1" applyProtection="1">
      <protection locked="0"/>
    </xf>
    <xf numFmtId="0" fontId="0" fillId="11" borderId="14" xfId="0" applyFill="1" applyBorder="1" applyProtection="1"/>
    <xf numFmtId="0" fontId="27" fillId="0" borderId="26" xfId="0" applyFont="1" applyFill="1" applyBorder="1" applyAlignment="1" applyProtection="1">
      <alignment horizontal="center" vertical="top" wrapText="1"/>
    </xf>
    <xf numFmtId="0" fontId="27" fillId="11" borderId="14" xfId="0" applyFont="1" applyFill="1" applyBorder="1" applyAlignment="1" applyProtection="1">
      <alignment horizontal="center"/>
    </xf>
    <xf numFmtId="0" fontId="0" fillId="12" borderId="27" xfId="0" applyFill="1" applyBorder="1" applyAlignment="1" applyProtection="1">
      <alignment wrapText="1"/>
    </xf>
    <xf numFmtId="0" fontId="0" fillId="13" borderId="15" xfId="0" applyFill="1" applyBorder="1" applyAlignment="1" applyProtection="1">
      <alignment wrapText="1"/>
    </xf>
    <xf numFmtId="0" fontId="0" fillId="14" borderId="18" xfId="0" applyFill="1" applyBorder="1" applyAlignment="1" applyProtection="1">
      <alignment wrapText="1"/>
    </xf>
    <xf numFmtId="0" fontId="0" fillId="12" borderId="28" xfId="0" applyFill="1" applyBorder="1" applyAlignment="1" applyProtection="1">
      <alignment wrapText="1"/>
    </xf>
    <xf numFmtId="0" fontId="0" fillId="14" borderId="29" xfId="0" applyFill="1" applyBorder="1" applyAlignment="1" applyProtection="1">
      <alignment wrapText="1"/>
    </xf>
    <xf numFmtId="0" fontId="26" fillId="0" borderId="30" xfId="0" applyFont="1" applyFill="1" applyBorder="1" applyAlignment="1" applyProtection="1">
      <alignment wrapText="1"/>
    </xf>
    <xf numFmtId="0" fontId="0" fillId="13" borderId="18" xfId="0" applyFill="1" applyBorder="1" applyAlignment="1" applyProtection="1">
      <alignment wrapText="1"/>
    </xf>
    <xf numFmtId="0" fontId="0" fillId="14" borderId="14" xfId="0" applyFill="1" applyBorder="1" applyAlignment="1" applyProtection="1">
      <alignment wrapText="1"/>
    </xf>
    <xf numFmtId="1" fontId="27" fillId="11" borderId="14" xfId="0" applyNumberFormat="1" applyFont="1" applyFill="1" applyBorder="1" applyAlignment="1" applyProtection="1">
      <alignment horizontal="center" wrapText="1"/>
    </xf>
    <xf numFmtId="1" fontId="0" fillId="15" borderId="31" xfId="0" applyNumberFormat="1" applyFont="1" applyFill="1" applyBorder="1" applyAlignment="1" applyProtection="1">
      <alignment horizontal="center"/>
    </xf>
    <xf numFmtId="1" fontId="0" fillId="0" borderId="14" xfId="0" applyNumberFormat="1" applyFont="1" applyFill="1" applyBorder="1" applyAlignment="1" applyProtection="1">
      <alignment horizontal="center"/>
    </xf>
    <xf numFmtId="1" fontId="0" fillId="0" borderId="32" xfId="0" applyNumberFormat="1" applyFont="1" applyFill="1" applyBorder="1" applyAlignment="1" applyProtection="1">
      <alignment horizontal="center"/>
    </xf>
    <xf numFmtId="1" fontId="0" fillId="0" borderId="33" xfId="0" applyNumberFormat="1" applyFont="1" applyFill="1" applyBorder="1" applyAlignment="1" applyProtection="1">
      <alignment horizontal="center"/>
    </xf>
    <xf numFmtId="1" fontId="0" fillId="2" borderId="14" xfId="0" applyNumberFormat="1" applyFont="1" applyFill="1" applyBorder="1" applyAlignment="1" applyProtection="1">
      <alignment horizontal="center"/>
    </xf>
    <xf numFmtId="1" fontId="0" fillId="0" borderId="34" xfId="0" applyNumberFormat="1" applyFont="1" applyFill="1" applyBorder="1" applyAlignment="1" applyProtection="1">
      <alignment horizontal="center"/>
    </xf>
    <xf numFmtId="1" fontId="26" fillId="0" borderId="35" xfId="0" applyNumberFormat="1" applyFont="1" applyFill="1" applyBorder="1" applyAlignment="1" applyProtection="1">
      <alignment horizontal="center"/>
    </xf>
    <xf numFmtId="1" fontId="0" fillId="15" borderId="33" xfId="0" applyNumberFormat="1" applyFont="1" applyFill="1" applyBorder="1" applyAlignment="1" applyProtection="1">
      <alignment horizontal="center"/>
    </xf>
    <xf numFmtId="1" fontId="0" fillId="2" borderId="32" xfId="0" applyNumberFormat="1" applyFont="1" applyFill="1" applyBorder="1" applyAlignment="1" applyProtection="1">
      <alignment horizontal="center"/>
    </xf>
    <xf numFmtId="165" fontId="27" fillId="11" borderId="14" xfId="0" applyNumberFormat="1" applyFont="1" applyFill="1" applyBorder="1" applyAlignment="1" applyProtection="1">
      <alignment horizontal="center" wrapText="1"/>
    </xf>
    <xf numFmtId="165" fontId="0" fillId="15" borderId="31" xfId="0" applyNumberFormat="1" applyFont="1" applyFill="1" applyBorder="1" applyAlignment="1" applyProtection="1">
      <alignment horizontal="center"/>
    </xf>
    <xf numFmtId="165" fontId="0" fillId="0" borderId="14" xfId="0" applyNumberFormat="1" applyFont="1" applyFill="1" applyBorder="1" applyAlignment="1" applyProtection="1">
      <alignment horizontal="center"/>
    </xf>
    <xf numFmtId="165" fontId="0" fillId="0" borderId="32" xfId="0" applyNumberFormat="1" applyFont="1" applyFill="1" applyBorder="1" applyAlignment="1" applyProtection="1">
      <alignment horizontal="center"/>
    </xf>
    <xf numFmtId="165" fontId="0" fillId="0" borderId="33" xfId="0" applyNumberFormat="1" applyFont="1" applyFill="1" applyBorder="1" applyAlignment="1" applyProtection="1">
      <alignment horizontal="center"/>
    </xf>
    <xf numFmtId="165" fontId="0" fillId="2" borderId="14" xfId="0" applyNumberFormat="1" applyFont="1" applyFill="1" applyBorder="1" applyAlignment="1" applyProtection="1">
      <alignment horizontal="center"/>
    </xf>
    <xf numFmtId="165" fontId="0" fillId="0" borderId="34" xfId="0" applyNumberFormat="1" applyFont="1" applyFill="1" applyBorder="1" applyAlignment="1" applyProtection="1">
      <alignment horizontal="center"/>
    </xf>
    <xf numFmtId="165" fontId="26" fillId="0" borderId="35" xfId="0" applyNumberFormat="1" applyFont="1" applyFill="1" applyBorder="1" applyAlignment="1" applyProtection="1">
      <alignment horizontal="center"/>
    </xf>
    <xf numFmtId="165" fontId="0" fillId="15" borderId="33" xfId="0" applyNumberFormat="1" applyFont="1" applyFill="1" applyBorder="1" applyAlignment="1" applyProtection="1">
      <alignment horizontal="center"/>
    </xf>
    <xf numFmtId="165" fontId="0" fillId="2" borderId="32" xfId="0" applyNumberFormat="1" applyFont="1" applyFill="1" applyBorder="1" applyAlignment="1" applyProtection="1">
      <alignment horizontal="center"/>
    </xf>
    <xf numFmtId="165" fontId="27" fillId="11" borderId="14" xfId="0" applyNumberFormat="1" applyFont="1" applyFill="1" applyBorder="1" applyAlignment="1" applyProtection="1">
      <alignment wrapText="1"/>
    </xf>
    <xf numFmtId="165" fontId="26" fillId="0" borderId="33" xfId="0" applyNumberFormat="1" applyFont="1" applyFill="1" applyBorder="1" applyAlignment="1" applyProtection="1">
      <alignment horizontal="center"/>
    </xf>
    <xf numFmtId="165" fontId="0" fillId="15" borderId="36" xfId="0" applyNumberFormat="1" applyFont="1" applyFill="1" applyBorder="1" applyAlignment="1" applyProtection="1">
      <alignment horizontal="center"/>
    </xf>
    <xf numFmtId="165" fontId="0" fillId="15" borderId="14" xfId="0" applyNumberFormat="1" applyFont="1" applyFill="1" applyBorder="1" applyAlignment="1" applyProtection="1">
      <alignment horizontal="center"/>
    </xf>
    <xf numFmtId="0" fontId="27" fillId="11" borderId="14" xfId="0" applyFont="1" applyFill="1" applyBorder="1" applyAlignment="1" applyProtection="1">
      <alignment wrapText="1"/>
    </xf>
    <xf numFmtId="2" fontId="0" fillId="15" borderId="31" xfId="0" applyNumberFormat="1" applyFont="1" applyFill="1" applyBorder="1" applyAlignment="1" applyProtection="1">
      <alignment horizontal="center"/>
    </xf>
    <xf numFmtId="2" fontId="0" fillId="0" borderId="14" xfId="0" applyNumberFormat="1" applyFont="1" applyFill="1" applyBorder="1" applyAlignment="1" applyProtection="1">
      <alignment horizontal="center"/>
    </xf>
    <xf numFmtId="2" fontId="0" fillId="0" borderId="32" xfId="0" applyNumberFormat="1" applyFont="1" applyFill="1" applyBorder="1" applyAlignment="1" applyProtection="1">
      <alignment horizontal="center"/>
    </xf>
    <xf numFmtId="2" fontId="0" fillId="0" borderId="33" xfId="0" applyNumberFormat="1" applyFont="1" applyFill="1" applyBorder="1" applyAlignment="1" applyProtection="1">
      <alignment horizontal="center"/>
    </xf>
    <xf numFmtId="2" fontId="0" fillId="2" borderId="14" xfId="0" applyNumberFormat="1" applyFont="1" applyFill="1" applyBorder="1" applyAlignment="1" applyProtection="1">
      <alignment horizontal="center"/>
    </xf>
    <xf numFmtId="2" fontId="0" fillId="0" borderId="34" xfId="0" applyNumberFormat="1" applyFont="1" applyFill="1" applyBorder="1" applyAlignment="1" applyProtection="1">
      <alignment horizontal="center"/>
    </xf>
    <xf numFmtId="2" fontId="26" fillId="0" borderId="35" xfId="0" applyNumberFormat="1" applyFont="1" applyFill="1" applyBorder="1" applyAlignment="1" applyProtection="1">
      <alignment horizontal="center"/>
    </xf>
    <xf numFmtId="2" fontId="0" fillId="15" borderId="33" xfId="0" applyNumberFormat="1" applyFont="1" applyFill="1" applyBorder="1" applyAlignment="1" applyProtection="1">
      <alignment horizontal="center"/>
    </xf>
    <xf numFmtId="2" fontId="0" fillId="2" borderId="32" xfId="0" applyNumberFormat="1" applyFont="1" applyFill="1" applyBorder="1" applyAlignment="1" applyProtection="1">
      <alignment horizontal="center"/>
    </xf>
    <xf numFmtId="2" fontId="26" fillId="0" borderId="14" xfId="0" applyNumberFormat="1" applyFont="1" applyFill="1" applyBorder="1" applyAlignment="1" applyProtection="1">
      <alignment horizontal="center"/>
    </xf>
    <xf numFmtId="0" fontId="27" fillId="11" borderId="14" xfId="0" applyFont="1" applyFill="1" applyBorder="1" applyAlignment="1" applyProtection="1">
      <alignment horizontal="center" wrapText="1"/>
    </xf>
    <xf numFmtId="10" fontId="0" fillId="15" borderId="37" xfId="0" applyNumberFormat="1" applyFill="1" applyBorder="1" applyAlignment="1" applyProtection="1">
      <alignment horizontal="center"/>
    </xf>
    <xf numFmtId="10" fontId="0" fillId="15" borderId="38" xfId="0" applyNumberFormat="1" applyFill="1" applyBorder="1" applyAlignment="1" applyProtection="1">
      <alignment horizontal="center"/>
    </xf>
    <xf numFmtId="10" fontId="26" fillId="0" borderId="38" xfId="0" applyNumberFormat="1" applyFont="1" applyFill="1" applyBorder="1" applyAlignment="1" applyProtection="1">
      <alignment horizontal="center"/>
    </xf>
    <xf numFmtId="10" fontId="0" fillId="15" borderId="39" xfId="0" applyNumberFormat="1" applyFill="1" applyBorder="1" applyAlignment="1" applyProtection="1">
      <alignment horizontal="center"/>
    </xf>
    <xf numFmtId="10" fontId="0" fillId="15" borderId="14" xfId="0" applyNumberFormat="1" applyFill="1" applyBorder="1" applyAlignment="1" applyProtection="1">
      <alignment horizontal="center"/>
    </xf>
    <xf numFmtId="10" fontId="26" fillId="0" borderId="14" xfId="0" applyNumberFormat="1" applyFont="1" applyFill="1" applyBorder="1" applyAlignment="1" applyProtection="1">
      <alignment horizontal="center"/>
    </xf>
    <xf numFmtId="0" fontId="0" fillId="15" borderId="37" xfId="0" applyNumberFormat="1" applyFill="1" applyBorder="1" applyAlignment="1" applyProtection="1">
      <alignment horizontal="center"/>
    </xf>
    <xf numFmtId="0" fontId="0" fillId="15" borderId="38" xfId="0" applyNumberFormat="1" applyFill="1" applyBorder="1" applyAlignment="1" applyProtection="1">
      <alignment horizontal="center"/>
    </xf>
    <xf numFmtId="0" fontId="26" fillId="0" borderId="38" xfId="0" applyNumberFormat="1" applyFont="1" applyFill="1" applyBorder="1" applyAlignment="1" applyProtection="1">
      <alignment horizontal="center"/>
    </xf>
    <xf numFmtId="0" fontId="0" fillId="15" borderId="39" xfId="0" applyNumberFormat="1" applyFill="1" applyBorder="1" applyAlignment="1" applyProtection="1">
      <alignment horizontal="center"/>
    </xf>
    <xf numFmtId="0" fontId="0" fillId="15" borderId="14" xfId="0" applyNumberFormat="1" applyFill="1" applyBorder="1" applyAlignment="1" applyProtection="1">
      <alignment horizontal="center"/>
    </xf>
    <xf numFmtId="0" fontId="26" fillId="0" borderId="14" xfId="0" applyNumberFormat="1" applyFont="1" applyFill="1" applyBorder="1" applyAlignment="1" applyProtection="1">
      <alignment horizontal="center"/>
    </xf>
    <xf numFmtId="0" fontId="26" fillId="11" borderId="14" xfId="0" applyFont="1" applyFill="1" applyBorder="1" applyAlignment="1" applyProtection="1">
      <alignment wrapText="1"/>
      <protection locked="0"/>
    </xf>
    <xf numFmtId="0" fontId="23" fillId="0" borderId="0" xfId="0" applyFont="1" applyAlignment="1">
      <alignment vertical="center" wrapText="1"/>
    </xf>
    <xf numFmtId="2" fontId="0" fillId="0" borderId="31" xfId="0" applyNumberFormat="1" applyFont="1" applyFill="1" applyBorder="1" applyAlignment="1" applyProtection="1">
      <alignment horizontal="center"/>
    </xf>
    <xf numFmtId="0" fontId="27" fillId="0" borderId="41" xfId="0" applyFont="1" applyFill="1" applyBorder="1" applyAlignment="1" applyProtection="1">
      <alignment horizontal="center" vertical="top" wrapText="1"/>
    </xf>
    <xf numFmtId="0" fontId="26" fillId="0" borderId="42" xfId="0" applyFont="1" applyFill="1" applyBorder="1" applyAlignment="1" applyProtection="1">
      <alignment wrapText="1"/>
    </xf>
    <xf numFmtId="1" fontId="26" fillId="0" borderId="43" xfId="0" applyNumberFormat="1" applyFont="1" applyFill="1" applyBorder="1" applyAlignment="1" applyProtection="1">
      <alignment horizontal="center"/>
    </xf>
    <xf numFmtId="165" fontId="26" fillId="0" borderId="43" xfId="0" applyNumberFormat="1" applyFont="1" applyFill="1" applyBorder="1" applyAlignment="1" applyProtection="1">
      <alignment horizontal="center"/>
    </xf>
    <xf numFmtId="165" fontId="26" fillId="0" borderId="44" xfId="0" applyNumberFormat="1" applyFont="1" applyFill="1" applyBorder="1" applyAlignment="1" applyProtection="1">
      <alignment horizontal="center"/>
    </xf>
    <xf numFmtId="2" fontId="26" fillId="0" borderId="43" xfId="0" applyNumberFormat="1" applyFont="1" applyFill="1" applyBorder="1" applyAlignment="1" applyProtection="1">
      <alignment horizontal="center"/>
    </xf>
    <xf numFmtId="10" fontId="26" fillId="0" borderId="45" xfId="0" applyNumberFormat="1" applyFont="1" applyFill="1" applyBorder="1" applyAlignment="1" applyProtection="1">
      <alignment horizontal="center"/>
    </xf>
    <xf numFmtId="0" fontId="26" fillId="0" borderId="45" xfId="0" applyNumberFormat="1" applyFont="1" applyFill="1" applyBorder="1" applyAlignment="1" applyProtection="1">
      <alignment horizontal="center"/>
    </xf>
    <xf numFmtId="0" fontId="0" fillId="0" borderId="0" xfId="0" applyAlignment="1">
      <alignment vertical="top"/>
    </xf>
    <xf numFmtId="0" fontId="12" fillId="0" borderId="0" xfId="1" applyBorder="1" applyAlignment="1">
      <alignment horizontal="left" vertical="top"/>
    </xf>
    <xf numFmtId="0" fontId="28" fillId="0" borderId="0" xfId="1" applyFont="1" applyBorder="1" applyAlignment="1">
      <alignment vertical="top"/>
    </xf>
    <xf numFmtId="0" fontId="6" fillId="5" borderId="2" xfId="0" applyFont="1" applyFill="1" applyBorder="1" applyAlignment="1">
      <alignment horizontal="left" vertical="center" wrapText="1"/>
    </xf>
    <xf numFmtId="0" fontId="6" fillId="0" borderId="2" xfId="0" applyFont="1" applyFill="1" applyBorder="1" applyAlignment="1">
      <alignment vertical="center"/>
    </xf>
    <xf numFmtId="0" fontId="6" fillId="0" borderId="1" xfId="0" applyFont="1" applyFill="1" applyBorder="1" applyAlignment="1">
      <alignment vertical="center"/>
    </xf>
    <xf numFmtId="1" fontId="10" fillId="10" borderId="4" xfId="0" applyNumberFormat="1" applyFont="1" applyFill="1" applyBorder="1" applyAlignment="1" applyProtection="1">
      <alignment horizontal="center" vertical="center"/>
      <protection locked="0"/>
    </xf>
    <xf numFmtId="1" fontId="10" fillId="10" borderId="3" xfId="0" applyNumberFormat="1" applyFont="1" applyFill="1" applyBorder="1" applyAlignment="1" applyProtection="1">
      <alignment horizontal="center" vertical="center"/>
      <protection locked="0"/>
    </xf>
    <xf numFmtId="1" fontId="10" fillId="0" borderId="1" xfId="0" applyNumberFormat="1" applyFont="1" applyBorder="1" applyAlignment="1" applyProtection="1">
      <alignment horizontal="center" vertical="center"/>
    </xf>
    <xf numFmtId="1" fontId="10" fillId="0" borderId="3" xfId="0" applyNumberFormat="1" applyFont="1" applyBorder="1" applyAlignment="1" applyProtection="1">
      <alignment horizontal="center" vertical="center"/>
    </xf>
    <xf numFmtId="1" fontId="10" fillId="0" borderId="4" xfId="0" applyNumberFormat="1" applyFont="1" applyBorder="1" applyAlignment="1" applyProtection="1">
      <alignment horizontal="center" vertical="center"/>
    </xf>
    <xf numFmtId="10" fontId="10" fillId="10" borderId="3" xfId="0" applyNumberFormat="1" applyFont="1" applyFill="1" applyBorder="1" applyAlignment="1" applyProtection="1">
      <alignment horizontal="center" vertical="center"/>
      <protection locked="0"/>
    </xf>
    <xf numFmtId="10" fontId="10" fillId="10" borderId="4" xfId="0" applyNumberFormat="1" applyFont="1" applyFill="1" applyBorder="1" applyAlignment="1" applyProtection="1">
      <alignment horizontal="center" vertical="center"/>
      <protection locked="0"/>
    </xf>
    <xf numFmtId="0" fontId="30" fillId="0" borderId="0" xfId="0" applyFont="1"/>
    <xf numFmtId="0" fontId="30" fillId="0" borderId="14" xfId="0" applyFont="1" applyBorder="1" applyAlignment="1">
      <alignment horizontal="center" vertical="center"/>
    </xf>
    <xf numFmtId="0" fontId="30" fillId="0" borderId="16" xfId="0" applyFont="1" applyBorder="1"/>
    <xf numFmtId="0" fontId="30" fillId="0" borderId="17" xfId="0" applyFont="1" applyBorder="1"/>
    <xf numFmtId="1" fontId="31" fillId="10" borderId="2" xfId="0" applyNumberFormat="1" applyFont="1" applyFill="1" applyBorder="1" applyAlignment="1" applyProtection="1">
      <alignment horizontal="left" vertical="center" wrapText="1"/>
      <protection locked="0"/>
    </xf>
    <xf numFmtId="0" fontId="30" fillId="18" borderId="3" xfId="0" applyFont="1" applyFill="1" applyBorder="1" applyAlignment="1">
      <alignment horizontal="center" vertical="center" wrapText="1"/>
    </xf>
    <xf numFmtId="0" fontId="30" fillId="18" borderId="3" xfId="0" applyFont="1" applyFill="1" applyBorder="1" applyAlignment="1">
      <alignment vertical="center" wrapText="1"/>
    </xf>
    <xf numFmtId="0" fontId="30" fillId="18" borderId="3" xfId="0" applyFont="1" applyFill="1" applyBorder="1" applyAlignment="1">
      <alignment horizontal="left" vertical="center" wrapText="1"/>
    </xf>
    <xf numFmtId="10" fontId="10" fillId="0" borderId="1" xfId="0" applyNumberFormat="1" applyFont="1" applyBorder="1" applyAlignment="1" applyProtection="1">
      <alignment horizontal="center" vertical="center"/>
    </xf>
    <xf numFmtId="10" fontId="10" fillId="0" borderId="4" xfId="0" applyNumberFormat="1" applyFont="1" applyBorder="1" applyAlignment="1" applyProtection="1">
      <alignment horizontal="center" vertical="center"/>
    </xf>
    <xf numFmtId="0" fontId="30" fillId="17" borderId="14" xfId="0" applyFont="1" applyFill="1" applyBorder="1" applyAlignment="1">
      <alignment horizontal="center" vertical="center"/>
    </xf>
    <xf numFmtId="0" fontId="30" fillId="19" borderId="14" xfId="0" applyFont="1" applyFill="1" applyBorder="1" applyAlignment="1">
      <alignment horizontal="center" vertical="center"/>
    </xf>
    <xf numFmtId="0" fontId="30" fillId="8" borderId="14" xfId="0" applyFont="1" applyFill="1" applyBorder="1" applyAlignment="1">
      <alignment horizontal="center" vertical="center"/>
    </xf>
    <xf numFmtId="0" fontId="0" fillId="16" borderId="8" xfId="0" applyFill="1" applyBorder="1" applyAlignment="1"/>
    <xf numFmtId="0" fontId="0" fillId="16" borderId="0" xfId="0" applyFill="1" applyBorder="1" applyAlignment="1"/>
    <xf numFmtId="0" fontId="0" fillId="16" borderId="13" xfId="0" applyFill="1" applyBorder="1" applyAlignment="1"/>
    <xf numFmtId="0" fontId="6" fillId="5" borderId="11" xfId="0" applyFont="1" applyFill="1" applyBorder="1" applyAlignment="1">
      <alignment vertical="center"/>
    </xf>
    <xf numFmtId="0" fontId="6" fillId="0" borderId="12" xfId="0" applyFont="1" applyBorder="1" applyAlignment="1">
      <alignment vertical="center"/>
    </xf>
    <xf numFmtId="0" fontId="6" fillId="0" borderId="47" xfId="0" applyFont="1" applyBorder="1" applyAlignment="1">
      <alignment vertical="center"/>
    </xf>
    <xf numFmtId="0" fontId="6" fillId="0" borderId="47" xfId="0" applyFont="1" applyBorder="1" applyAlignment="1">
      <alignment horizontal="center" vertical="center"/>
    </xf>
    <xf numFmtId="0" fontId="25" fillId="3" borderId="0" xfId="0" applyFont="1" applyFill="1" applyBorder="1" applyAlignment="1">
      <alignment vertical="center" wrapText="1"/>
    </xf>
    <xf numFmtId="0" fontId="25" fillId="3" borderId="13" xfId="0" applyFont="1" applyFill="1" applyBorder="1" applyAlignment="1">
      <alignment vertical="center" wrapText="1"/>
    </xf>
    <xf numFmtId="0" fontId="0" fillId="3" borderId="8" xfId="0" applyFill="1" applyBorder="1" applyAlignment="1"/>
    <xf numFmtId="0" fontId="0" fillId="3" borderId="0" xfId="0" applyFill="1" applyBorder="1" applyAlignment="1"/>
    <xf numFmtId="0" fontId="0" fillId="3" borderId="11" xfId="0" applyFill="1" applyBorder="1" applyAlignment="1"/>
    <xf numFmtId="0" fontId="0" fillId="3" borderId="10" xfId="0" applyFill="1" applyBorder="1" applyAlignment="1"/>
    <xf numFmtId="0" fontId="6" fillId="3" borderId="8" xfId="0" applyFont="1" applyFill="1" applyBorder="1"/>
    <xf numFmtId="0" fontId="6" fillId="3" borderId="12" xfId="0" applyFont="1" applyFill="1" applyBorder="1"/>
    <xf numFmtId="0" fontId="6" fillId="0" borderId="8" xfId="0" applyFont="1" applyFill="1" applyBorder="1"/>
    <xf numFmtId="0" fontId="6" fillId="0" borderId="0" xfId="0" applyFont="1" applyFill="1" applyBorder="1"/>
    <xf numFmtId="0" fontId="6" fillId="0" borderId="0" xfId="0" applyFont="1" applyBorder="1" applyAlignment="1">
      <alignment vertical="center"/>
    </xf>
    <xf numFmtId="0" fontId="10" fillId="0" borderId="0" xfId="0" applyFont="1" applyFill="1" applyBorder="1" applyAlignment="1" applyProtection="1">
      <alignment vertical="center"/>
      <protection hidden="1"/>
    </xf>
    <xf numFmtId="0" fontId="0" fillId="0" borderId="0" xfId="0" applyFill="1" applyBorder="1"/>
    <xf numFmtId="0" fontId="10" fillId="3" borderId="47" xfId="0" applyFont="1" applyFill="1" applyBorder="1" applyAlignment="1" applyProtection="1">
      <alignment vertical="center"/>
      <protection hidden="1"/>
    </xf>
    <xf numFmtId="0" fontId="15" fillId="0" borderId="0" xfId="0" applyFont="1" applyBorder="1" applyAlignment="1">
      <alignment vertical="center" wrapText="1"/>
    </xf>
    <xf numFmtId="0" fontId="0" fillId="3" borderId="9" xfId="0" applyFill="1" applyBorder="1"/>
    <xf numFmtId="0" fontId="0" fillId="3" borderId="6" xfId="0" applyFill="1" applyBorder="1"/>
    <xf numFmtId="0" fontId="0" fillId="3" borderId="4" xfId="0" applyFill="1" applyBorder="1"/>
    <xf numFmtId="0" fontId="0" fillId="3" borderId="0" xfId="0" applyFill="1" applyBorder="1"/>
    <xf numFmtId="0" fontId="0" fillId="3" borderId="7" xfId="0" applyFill="1" applyBorder="1"/>
    <xf numFmtId="0" fontId="0" fillId="3" borderId="12" xfId="0" applyFill="1" applyBorder="1" applyAlignment="1"/>
    <xf numFmtId="0" fontId="6" fillId="3" borderId="5" xfId="0" applyFont="1" applyFill="1" applyBorder="1" applyAlignment="1"/>
    <xf numFmtId="2" fontId="26" fillId="0" borderId="0" xfId="0" applyNumberFormat="1" applyFont="1" applyFill="1" applyBorder="1" applyAlignment="1" applyProtection="1">
      <alignment horizontal="center"/>
    </xf>
    <xf numFmtId="10" fontId="26" fillId="0" borderId="0" xfId="0" applyNumberFormat="1" applyFont="1" applyFill="1" applyBorder="1" applyAlignment="1" applyProtection="1">
      <alignment horizontal="center"/>
    </xf>
    <xf numFmtId="0" fontId="26" fillId="0" borderId="0" xfId="0" applyNumberFormat="1" applyFont="1" applyFill="1" applyBorder="1" applyAlignment="1" applyProtection="1">
      <alignment horizontal="center"/>
    </xf>
    <xf numFmtId="0" fontId="26" fillId="0" borderId="32" xfId="0" applyFont="1" applyFill="1" applyBorder="1" applyAlignment="1" applyProtection="1">
      <alignment wrapText="1"/>
    </xf>
    <xf numFmtId="1" fontId="26" fillId="0" borderId="32" xfId="0" applyNumberFormat="1" applyFont="1" applyFill="1" applyBorder="1" applyAlignment="1" applyProtection="1">
      <alignment horizontal="center"/>
    </xf>
    <xf numFmtId="165" fontId="26" fillId="0" borderId="32" xfId="0" applyNumberFormat="1" applyFont="1" applyFill="1" applyBorder="1" applyAlignment="1" applyProtection="1">
      <alignment horizontal="center"/>
    </xf>
    <xf numFmtId="1" fontId="0" fillId="0" borderId="0" xfId="0" applyNumberFormat="1" applyFill="1"/>
    <xf numFmtId="0" fontId="15" fillId="0" borderId="0" xfId="0" applyFont="1" applyFill="1" applyBorder="1" applyAlignment="1">
      <alignment horizontal="center" vertical="center" wrapText="1"/>
    </xf>
    <xf numFmtId="0" fontId="17" fillId="0" borderId="0" xfId="0" applyFont="1" applyBorder="1" applyAlignment="1" applyProtection="1">
      <alignment horizontal="center" vertical="center"/>
      <protection locked="0"/>
    </xf>
    <xf numFmtId="0" fontId="0" fillId="0" borderId="0" xfId="0" applyAlignment="1" applyProtection="1">
      <alignment vertical="center"/>
      <protection locked="0"/>
    </xf>
    <xf numFmtId="0" fontId="16" fillId="0" borderId="0" xfId="1"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16" fillId="0" borderId="0" xfId="1" applyFont="1" applyBorder="1" applyAlignment="1" applyProtection="1">
      <alignment vertical="center" wrapText="1"/>
      <protection locked="0"/>
    </xf>
    <xf numFmtId="0" fontId="0" fillId="0" borderId="0" xfId="0" applyAlignment="1" applyProtection="1">
      <alignment vertical="center" wrapText="1"/>
      <protection locked="0"/>
    </xf>
    <xf numFmtId="0" fontId="30" fillId="0" borderId="15" xfId="0" applyFont="1" applyBorder="1" applyAlignment="1">
      <alignment horizontal="left"/>
    </xf>
    <xf numFmtId="0" fontId="30" fillId="0" borderId="0" xfId="0" applyFont="1" applyBorder="1"/>
    <xf numFmtId="0" fontId="30" fillId="0" borderId="0" xfId="0" applyFont="1" applyBorder="1" applyAlignment="1">
      <alignment horizontal="left"/>
    </xf>
    <xf numFmtId="0" fontId="30" fillId="0" borderId="0" xfId="0" applyFont="1" applyFill="1" applyBorder="1" applyAlignment="1">
      <alignment horizontal="center" vertical="center"/>
    </xf>
    <xf numFmtId="0" fontId="15" fillId="0" borderId="0" xfId="0" applyFont="1" applyBorder="1" applyAlignment="1">
      <alignment horizontal="center" vertical="center" wrapText="1"/>
    </xf>
    <xf numFmtId="0" fontId="26" fillId="0" borderId="0" xfId="0" applyFont="1"/>
    <xf numFmtId="0" fontId="37" fillId="0" borderId="40" xfId="0" applyFont="1" applyBorder="1" applyAlignment="1">
      <alignment horizontal="left" vertical="top" wrapText="1"/>
    </xf>
    <xf numFmtId="0" fontId="37" fillId="0" borderId="40" xfId="0" applyFont="1" applyBorder="1" applyAlignment="1">
      <alignment horizontal="left" vertical="top"/>
    </xf>
    <xf numFmtId="0" fontId="37" fillId="0" borderId="0" xfId="0" applyFont="1" applyBorder="1" applyAlignment="1">
      <alignment horizontal="left" vertical="top" wrapText="1"/>
    </xf>
    <xf numFmtId="0" fontId="37" fillId="0" borderId="0" xfId="0" applyFont="1" applyBorder="1" applyAlignment="1">
      <alignment horizontal="left" vertical="top"/>
    </xf>
    <xf numFmtId="0" fontId="14" fillId="0" borderId="0" xfId="0" applyFont="1" applyBorder="1" applyAlignment="1">
      <alignment vertical="center" wrapText="1"/>
    </xf>
    <xf numFmtId="0" fontId="14" fillId="0" borderId="0" xfId="0" applyFont="1" applyBorder="1" applyAlignment="1">
      <alignment vertical="center"/>
    </xf>
    <xf numFmtId="0" fontId="41" fillId="0" borderId="0" xfId="0" applyFont="1" applyBorder="1" applyAlignment="1">
      <alignment vertical="center" wrapText="1"/>
    </xf>
    <xf numFmtId="0" fontId="41" fillId="0" borderId="15" xfId="0" applyFont="1" applyBorder="1" applyAlignment="1">
      <alignment horizontal="center" vertical="center" wrapText="1"/>
    </xf>
    <xf numFmtId="0" fontId="41" fillId="0" borderId="14" xfId="0" applyFont="1" applyBorder="1" applyAlignment="1">
      <alignment horizontal="center" vertical="center" wrapText="1"/>
    </xf>
    <xf numFmtId="0" fontId="30" fillId="0" borderId="15" xfId="0" applyFont="1" applyBorder="1" applyAlignment="1">
      <alignment horizontal="center" vertical="center" wrapText="1"/>
    </xf>
    <xf numFmtId="9" fontId="41" fillId="0" borderId="14" xfId="0" applyNumberFormat="1" applyFont="1" applyBorder="1" applyAlignment="1">
      <alignment horizontal="center" vertical="center" wrapText="1"/>
    </xf>
    <xf numFmtId="0" fontId="41" fillId="0" borderId="16" xfId="0" applyFont="1" applyBorder="1" applyAlignment="1">
      <alignment horizontal="center" vertical="center" wrapText="1"/>
    </xf>
    <xf numFmtId="9" fontId="41" fillId="0" borderId="16" xfId="0" applyNumberFormat="1" applyFont="1" applyBorder="1" applyAlignment="1">
      <alignment horizontal="center" vertical="center" wrapText="1"/>
    </xf>
    <xf numFmtId="9" fontId="41" fillId="0" borderId="0" xfId="0" applyNumberFormat="1" applyFont="1" applyBorder="1" applyAlignment="1">
      <alignment horizontal="center" vertical="center" wrapText="1"/>
    </xf>
    <xf numFmtId="0" fontId="30" fillId="0" borderId="14" xfId="0" applyFont="1" applyBorder="1" applyAlignment="1">
      <alignment horizontal="center" vertical="center" wrapText="1"/>
    </xf>
    <xf numFmtId="0" fontId="30" fillId="0" borderId="0" xfId="0" applyFont="1" applyBorder="1" applyAlignment="1">
      <alignment vertical="center" wrapText="1"/>
    </xf>
    <xf numFmtId="0" fontId="30" fillId="17" borderId="14" xfId="0" applyFont="1" applyFill="1" applyBorder="1" applyAlignment="1">
      <alignment horizontal="center" vertical="center" wrapText="1"/>
    </xf>
    <xf numFmtId="0" fontId="30" fillId="19" borderId="14" xfId="0" applyFont="1" applyFill="1" applyBorder="1" applyAlignment="1">
      <alignment horizontal="center" vertical="center" wrapText="1"/>
    </xf>
    <xf numFmtId="0" fontId="30" fillId="8" borderId="14" xfId="0" applyFont="1" applyFill="1" applyBorder="1" applyAlignment="1">
      <alignment horizontal="center" vertical="center" wrapText="1"/>
    </xf>
    <xf numFmtId="0" fontId="30" fillId="0" borderId="15" xfId="0" applyFont="1" applyBorder="1" applyAlignment="1">
      <alignment vertical="center" wrapText="1"/>
    </xf>
    <xf numFmtId="0" fontId="30" fillId="0" borderId="0" xfId="0" applyFont="1" applyBorder="1" applyAlignment="1"/>
    <xf numFmtId="0" fontId="30" fillId="17" borderId="15" xfId="0" applyFont="1" applyFill="1" applyBorder="1" applyAlignment="1">
      <alignment horizontal="center" vertical="center"/>
    </xf>
    <xf numFmtId="0" fontId="30" fillId="19" borderId="15" xfId="0" applyFont="1" applyFill="1" applyBorder="1" applyAlignment="1">
      <alignment horizontal="center" vertical="center"/>
    </xf>
    <xf numFmtId="0" fontId="30" fillId="8" borderId="15" xfId="0" applyFont="1" applyFill="1" applyBorder="1" applyAlignment="1">
      <alignment horizontal="center" vertical="center"/>
    </xf>
    <xf numFmtId="0" fontId="17" fillId="0" borderId="0" xfId="0" applyFont="1" applyBorder="1" applyAlignment="1">
      <alignment horizontal="center" vertical="center"/>
    </xf>
    <xf numFmtId="0" fontId="6" fillId="0" borderId="1" xfId="0" applyFont="1" applyBorder="1" applyAlignment="1" applyProtection="1">
      <alignment horizontal="center" vertical="center"/>
      <protection locked="0"/>
    </xf>
    <xf numFmtId="0" fontId="6" fillId="0" borderId="4" xfId="0" applyFont="1" applyBorder="1" applyAlignment="1">
      <alignment horizontal="center" vertical="center"/>
    </xf>
    <xf numFmtId="1" fontId="10" fillId="0" borderId="3" xfId="0" applyNumberFormat="1" applyFont="1" applyBorder="1" applyAlignment="1" applyProtection="1">
      <alignment horizontal="center" vertical="center" wrapText="1"/>
    </xf>
    <xf numFmtId="0" fontId="6" fillId="0" borderId="4" xfId="0" applyFont="1" applyBorder="1" applyAlignment="1" applyProtection="1">
      <alignment horizontal="center" vertical="center"/>
      <protection locked="0"/>
    </xf>
    <xf numFmtId="10" fontId="10" fillId="0" borderId="7" xfId="0" applyNumberFormat="1" applyFont="1" applyBorder="1" applyAlignment="1" applyProtection="1">
      <alignment horizontal="center" vertical="center"/>
    </xf>
    <xf numFmtId="10" fontId="10" fillId="0" borderId="9" xfId="0" applyNumberFormat="1" applyFont="1" applyBorder="1" applyAlignment="1" applyProtection="1">
      <alignment horizontal="center" vertical="center"/>
    </xf>
    <xf numFmtId="0" fontId="30" fillId="0" borderId="40" xfId="0" applyFont="1" applyBorder="1" applyAlignment="1">
      <alignment horizontal="center" vertical="center"/>
    </xf>
    <xf numFmtId="0" fontId="30" fillId="0" borderId="4" xfId="0" applyFont="1" applyBorder="1" applyAlignment="1">
      <alignment horizontal="left" wrapText="1"/>
    </xf>
    <xf numFmtId="0" fontId="30" fillId="0" borderId="1" xfId="0" applyFont="1" applyBorder="1" applyAlignment="1">
      <alignment horizontal="left" wrapText="1"/>
    </xf>
    <xf numFmtId="0" fontId="30" fillId="0" borderId="1" xfId="0" applyFont="1" applyBorder="1" applyAlignment="1">
      <alignment horizontal="left" vertical="top" wrapText="1"/>
    </xf>
    <xf numFmtId="0" fontId="30" fillId="0" borderId="0" xfId="0" applyFont="1" applyBorder="1" applyAlignment="1">
      <alignment horizontal="left" vertical="center" wrapText="1"/>
    </xf>
    <xf numFmtId="0" fontId="30" fillId="0" borderId="0" xfId="0" applyFont="1" applyBorder="1" applyAlignment="1">
      <alignment horizontal="center" vertical="center"/>
    </xf>
    <xf numFmtId="0" fontId="30" fillId="0" borderId="14" xfId="0" applyFont="1" applyBorder="1" applyAlignment="1">
      <alignment vertical="top" wrapText="1"/>
    </xf>
    <xf numFmtId="0" fontId="30" fillId="0" borderId="30" xfId="0" applyFont="1" applyBorder="1" applyAlignment="1">
      <alignment vertical="top" wrapText="1"/>
    </xf>
    <xf numFmtId="0" fontId="30" fillId="0" borderId="0" xfId="0" applyFont="1" applyBorder="1" applyAlignment="1">
      <alignment vertical="top" wrapText="1"/>
    </xf>
    <xf numFmtId="0" fontId="30" fillId="0" borderId="16" xfId="0" applyFont="1" applyBorder="1" applyAlignment="1">
      <alignment horizontal="left" vertical="top" wrapText="1"/>
    </xf>
    <xf numFmtId="0" fontId="30" fillId="0" borderId="14" xfId="0" applyFont="1" applyBorder="1" applyAlignment="1">
      <alignment horizontal="left" vertical="center" wrapText="1" indent="3"/>
    </xf>
    <xf numFmtId="0" fontId="30" fillId="0" borderId="18" xfId="0" applyFont="1" applyBorder="1" applyAlignment="1">
      <alignment horizontal="left" vertical="center" wrapText="1" indent="3"/>
    </xf>
    <xf numFmtId="0" fontId="30" fillId="0" borderId="19" xfId="0" applyFont="1" applyBorder="1" applyAlignment="1">
      <alignment horizontal="left" vertical="top" wrapText="1"/>
    </xf>
    <xf numFmtId="0" fontId="30" fillId="0" borderId="30" xfId="0" applyFont="1" applyBorder="1" applyAlignment="1">
      <alignment vertical="center"/>
    </xf>
    <xf numFmtId="0" fontId="30" fillId="0" borderId="0" xfId="0" applyFont="1" applyBorder="1" applyAlignment="1">
      <alignment vertical="center"/>
    </xf>
    <xf numFmtId="0" fontId="30" fillId="0" borderId="49" xfId="0" applyFont="1" applyBorder="1" applyAlignment="1">
      <alignment vertical="center"/>
    </xf>
    <xf numFmtId="0" fontId="14" fillId="0" borderId="50" xfId="0" applyFont="1" applyBorder="1"/>
    <xf numFmtId="0" fontId="30" fillId="0" borderId="50" xfId="0" applyFont="1" applyBorder="1" applyAlignment="1">
      <alignment horizontal="center"/>
    </xf>
    <xf numFmtId="0" fontId="30" fillId="0" borderId="31" xfId="0" applyFont="1" applyBorder="1" applyAlignment="1">
      <alignment horizontal="center" vertical="center"/>
    </xf>
    <xf numFmtId="0" fontId="30" fillId="0" borderId="51" xfId="0" applyFont="1" applyBorder="1" applyAlignment="1">
      <alignment horizontal="center" vertical="center"/>
    </xf>
    <xf numFmtId="9" fontId="30" fillId="0" borderId="51" xfId="0" applyNumberFormat="1" applyFont="1" applyBorder="1" applyAlignment="1">
      <alignment horizontal="center" vertical="center"/>
    </xf>
    <xf numFmtId="9" fontId="30" fillId="0" borderId="14" xfId="0" applyNumberFormat="1" applyFont="1" applyBorder="1" applyAlignment="1">
      <alignment horizontal="center" vertical="center"/>
    </xf>
    <xf numFmtId="0" fontId="30" fillId="0" borderId="52" xfId="0" applyFont="1" applyBorder="1" applyAlignment="1">
      <alignment horizontal="center" vertical="center"/>
    </xf>
    <xf numFmtId="9" fontId="30" fillId="0" borderId="52" xfId="0" applyNumberFormat="1" applyFont="1" applyBorder="1" applyAlignment="1">
      <alignment horizontal="center" vertical="center"/>
    </xf>
    <xf numFmtId="0" fontId="30" fillId="0" borderId="53" xfId="0" applyFont="1" applyBorder="1" applyAlignment="1">
      <alignment horizontal="center" vertical="center"/>
    </xf>
    <xf numFmtId="0" fontId="30" fillId="0" borderId="54" xfId="0" applyFont="1" applyBorder="1" applyAlignment="1">
      <alignment horizontal="center" vertical="center"/>
    </xf>
    <xf numFmtId="9" fontId="30" fillId="0" borderId="54" xfId="0" applyNumberFormat="1" applyFont="1" applyBorder="1" applyAlignment="1">
      <alignment horizontal="center" vertical="center"/>
    </xf>
    <xf numFmtId="0" fontId="14" fillId="0" borderId="50" xfId="0" applyFont="1" applyBorder="1" applyAlignment="1">
      <alignment vertical="center"/>
    </xf>
    <xf numFmtId="0" fontId="30" fillId="0" borderId="50" xfId="0" applyFont="1" applyBorder="1" applyAlignment="1">
      <alignment horizontal="center" vertical="center"/>
    </xf>
    <xf numFmtId="9" fontId="30" fillId="0" borderId="50" xfId="0" applyNumberFormat="1" applyFont="1" applyBorder="1" applyAlignment="1">
      <alignment horizontal="center" vertical="center"/>
    </xf>
    <xf numFmtId="9" fontId="30" fillId="0" borderId="31" xfId="0" applyNumberFormat="1" applyFont="1" applyBorder="1" applyAlignment="1">
      <alignment horizontal="center" vertical="center"/>
    </xf>
    <xf numFmtId="0" fontId="30" fillId="0" borderId="40" xfId="0" applyFont="1" applyBorder="1"/>
    <xf numFmtId="0" fontId="30" fillId="0" borderId="55" xfId="0" applyFont="1" applyBorder="1" applyAlignment="1">
      <alignment horizontal="center" vertical="center"/>
    </xf>
    <xf numFmtId="0" fontId="30" fillId="0" borderId="16" xfId="0" applyFont="1" applyBorder="1" applyAlignment="1">
      <alignment horizontal="left" vertical="top" wrapText="1"/>
    </xf>
    <xf numFmtId="0" fontId="30" fillId="0" borderId="32" xfId="0" applyFont="1" applyBorder="1" applyAlignment="1">
      <alignment horizontal="center" vertical="center"/>
    </xf>
    <xf numFmtId="9" fontId="30" fillId="0" borderId="32" xfId="0" applyNumberFormat="1" applyFont="1" applyBorder="1" applyAlignment="1">
      <alignment horizontal="center" vertical="center"/>
    </xf>
    <xf numFmtId="10" fontId="39" fillId="0" borderId="0" xfId="1" applyNumberFormat="1" applyFont="1" applyBorder="1" applyAlignment="1" applyProtection="1">
      <alignment horizontal="left" vertical="center" wrapText="1"/>
      <protection locked="0"/>
    </xf>
    <xf numFmtId="0" fontId="39" fillId="0" borderId="0" xfId="1" applyFont="1" applyBorder="1" applyAlignment="1" applyProtection="1">
      <alignment horizontal="left" vertical="center" wrapText="1"/>
      <protection locked="0"/>
    </xf>
    <xf numFmtId="1" fontId="10" fillId="0" borderId="2" xfId="0" applyNumberFormat="1" applyFont="1" applyBorder="1" applyAlignment="1" applyProtection="1">
      <alignment horizontal="center" vertical="center"/>
      <protection hidden="1"/>
    </xf>
    <xf numFmtId="1" fontId="10" fillId="0" borderId="3" xfId="0" applyNumberFormat="1" applyFont="1" applyBorder="1" applyAlignment="1" applyProtection="1">
      <alignment horizontal="center" vertical="center"/>
      <protection hidden="1"/>
    </xf>
    <xf numFmtId="1" fontId="10" fillId="0" borderId="4" xfId="0" applyNumberFormat="1"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3" borderId="2" xfId="0" applyFont="1" applyFill="1" applyBorder="1" applyAlignment="1" applyProtection="1">
      <alignment horizontal="center" vertical="center"/>
      <protection hidden="1"/>
    </xf>
    <xf numFmtId="0" fontId="10" fillId="3" borderId="4" xfId="0" applyFont="1" applyFill="1" applyBorder="1" applyAlignment="1" applyProtection="1">
      <alignment horizontal="center" vertical="center"/>
      <protection hidden="1"/>
    </xf>
    <xf numFmtId="0" fontId="10" fillId="5" borderId="2"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0" borderId="3"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6" fillId="3" borderId="6" xfId="0" applyFont="1" applyFill="1" applyBorder="1" applyAlignment="1">
      <alignment horizontal="center"/>
    </xf>
    <xf numFmtId="0" fontId="6" fillId="3" borderId="7" xfId="0" applyFont="1" applyFill="1" applyBorder="1" applyAlignment="1">
      <alignment horizontal="center"/>
    </xf>
    <xf numFmtId="0" fontId="17" fillId="4" borderId="2" xfId="0" applyFont="1" applyFill="1" applyBorder="1" applyAlignment="1">
      <alignment horizontal="left"/>
    </xf>
    <xf numFmtId="0" fontId="17" fillId="4" borderId="3" xfId="0" applyFont="1" applyFill="1" applyBorder="1" applyAlignment="1">
      <alignment horizontal="left"/>
    </xf>
    <xf numFmtId="0" fontId="17" fillId="4" borderId="4" xfId="0" applyFont="1" applyFill="1" applyBorder="1" applyAlignment="1">
      <alignment horizontal="left"/>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7" fillId="7" borderId="1" xfId="0" applyFont="1" applyFill="1" applyBorder="1" applyAlignment="1">
      <alignment horizontal="center" vertical="center"/>
    </xf>
    <xf numFmtId="0" fontId="5" fillId="2" borderId="8"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32" fillId="4" borderId="2" xfId="0" applyFont="1" applyFill="1" applyBorder="1" applyAlignment="1">
      <alignment horizontal="left" vertical="center"/>
    </xf>
    <xf numFmtId="0" fontId="32" fillId="4" borderId="3" xfId="0" applyFont="1" applyFill="1" applyBorder="1" applyAlignment="1">
      <alignment horizontal="left" vertical="center"/>
    </xf>
    <xf numFmtId="0" fontId="32" fillId="4" borderId="4" xfId="0" applyFont="1" applyFill="1" applyBorder="1" applyAlignment="1">
      <alignment horizontal="left" vertical="center"/>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10" fontId="10" fillId="0" borderId="6" xfId="0" applyNumberFormat="1" applyFont="1" applyFill="1" applyBorder="1" applyAlignment="1">
      <alignment horizontal="center" vertical="center" wrapText="1"/>
    </xf>
    <xf numFmtId="10" fontId="10" fillId="0" borderId="7" xfId="0" applyNumberFormat="1" applyFont="1" applyFill="1" applyBorder="1" applyAlignment="1">
      <alignment horizontal="center" vertical="center" wrapText="1"/>
    </xf>
    <xf numFmtId="1" fontId="10" fillId="0" borderId="10" xfId="0" applyNumberFormat="1" applyFont="1" applyFill="1" applyBorder="1" applyAlignment="1">
      <alignment horizontal="center" vertical="center" wrapText="1"/>
    </xf>
    <xf numFmtId="1" fontId="10" fillId="0" borderId="12" xfId="0" applyNumberFormat="1" applyFont="1" applyFill="1" applyBorder="1" applyAlignment="1">
      <alignment horizontal="center" vertical="center" wrapText="1"/>
    </xf>
    <xf numFmtId="0" fontId="6" fillId="4" borderId="2" xfId="0" applyFont="1" applyFill="1" applyBorder="1" applyAlignment="1" applyProtection="1">
      <alignment horizontal="center" vertical="center"/>
    </xf>
    <xf numFmtId="0" fontId="6" fillId="4" borderId="3" xfId="0" applyFont="1" applyFill="1" applyBorder="1" applyAlignment="1" applyProtection="1">
      <alignment horizontal="center" vertical="center"/>
    </xf>
    <xf numFmtId="0" fontId="6" fillId="4" borderId="4" xfId="0" applyFont="1" applyFill="1" applyBorder="1" applyAlignment="1" applyProtection="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1" fontId="10" fillId="0" borderId="2" xfId="0" applyNumberFormat="1"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7" fillId="7" borderId="2" xfId="0" applyFont="1" applyFill="1" applyBorder="1" applyAlignment="1">
      <alignment vertical="center"/>
    </xf>
    <xf numFmtId="0" fontId="7" fillId="7" borderId="3" xfId="0" applyFont="1" applyFill="1" applyBorder="1" applyAlignment="1">
      <alignment vertical="center"/>
    </xf>
    <xf numFmtId="0" fontId="7" fillId="7" borderId="4" xfId="0" applyFont="1" applyFill="1" applyBorder="1" applyAlignment="1">
      <alignment vertical="center"/>
    </xf>
    <xf numFmtId="0" fontId="8" fillId="7" borderId="1" xfId="0" applyFont="1" applyFill="1" applyBorder="1" applyAlignment="1">
      <alignment horizontal="center" vertical="center"/>
    </xf>
    <xf numFmtId="10" fontId="39" fillId="0" borderId="6" xfId="1" applyNumberFormat="1" applyFont="1" applyBorder="1" applyAlignment="1">
      <alignment horizontal="left" vertical="center"/>
    </xf>
    <xf numFmtId="0" fontId="39" fillId="0" borderId="0" xfId="1" applyFont="1" applyAlignment="1" applyProtection="1">
      <alignment horizontal="left" vertical="center"/>
      <protection locked="0"/>
    </xf>
    <xf numFmtId="0" fontId="35" fillId="0" borderId="0" xfId="0" applyFont="1" applyAlignment="1">
      <alignment horizontal="left" vertical="center" wrapText="1"/>
    </xf>
    <xf numFmtId="0" fontId="9" fillId="7" borderId="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10" fontId="17" fillId="0" borderId="1" xfId="0" applyNumberFormat="1" applyFont="1" applyBorder="1" applyAlignment="1">
      <alignment horizontal="center" vertical="center" wrapText="1"/>
    </xf>
    <xf numFmtId="0" fontId="17" fillId="0" borderId="1" xfId="0" applyFont="1" applyBorder="1" applyAlignment="1">
      <alignment horizontal="center" vertical="center"/>
    </xf>
    <xf numFmtId="0" fontId="7"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8" fillId="7" borderId="4" xfId="0" applyFont="1" applyFill="1" applyBorder="1" applyAlignment="1">
      <alignment horizontal="center" vertical="center"/>
    </xf>
    <xf numFmtId="0" fontId="7" fillId="7" borderId="3" xfId="0" applyFont="1" applyFill="1" applyBorder="1" applyAlignment="1">
      <alignment horizontal="center" vertical="center"/>
    </xf>
    <xf numFmtId="0" fontId="7" fillId="7" borderId="4" xfId="0" applyFont="1" applyFill="1" applyBorder="1" applyAlignment="1">
      <alignment horizontal="center" vertical="center"/>
    </xf>
    <xf numFmtId="0" fontId="17" fillId="4" borderId="2" xfId="0" applyFont="1" applyFill="1" applyBorder="1" applyAlignment="1">
      <alignment horizontal="center"/>
    </xf>
    <xf numFmtId="0" fontId="34" fillId="4" borderId="3" xfId="0" applyFont="1" applyFill="1" applyBorder="1" applyAlignment="1">
      <alignment horizontal="center"/>
    </xf>
    <xf numFmtId="0" fontId="34" fillId="4" borderId="4" xfId="0" applyFont="1" applyFill="1" applyBorder="1" applyAlignment="1">
      <alignment horizontal="center"/>
    </xf>
    <xf numFmtId="2" fontId="10" fillId="0" borderId="2" xfId="0" applyNumberFormat="1" applyFont="1" applyBorder="1" applyAlignment="1">
      <alignment horizontal="center" vertical="center"/>
    </xf>
    <xf numFmtId="2" fontId="10" fillId="0" borderId="3" xfId="0" applyNumberFormat="1" applyFont="1" applyBorder="1" applyAlignment="1">
      <alignment horizontal="center" vertical="center"/>
    </xf>
    <xf numFmtId="2" fontId="10" fillId="0" borderId="4" xfId="0" applyNumberFormat="1" applyFont="1" applyBorder="1" applyAlignment="1">
      <alignment horizontal="center" vertical="center"/>
    </xf>
    <xf numFmtId="0" fontId="0" fillId="3" borderId="0" xfId="0" applyFill="1" applyBorder="1" applyAlignment="1">
      <alignment horizontal="center"/>
    </xf>
    <xf numFmtId="0" fontId="0" fillId="3" borderId="13" xfId="0" applyFill="1" applyBorder="1" applyAlignment="1">
      <alignment horizontal="center"/>
    </xf>
    <xf numFmtId="0" fontId="17" fillId="2" borderId="3" xfId="0" applyFont="1" applyFill="1" applyBorder="1" applyAlignment="1">
      <alignment horizontal="left" vertical="center"/>
    </xf>
    <xf numFmtId="0" fontId="17" fillId="2" borderId="4" xfId="0" applyFont="1" applyFill="1" applyBorder="1" applyAlignment="1">
      <alignment horizontal="left"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2" fontId="10" fillId="10" borderId="2" xfId="0" applyNumberFormat="1" applyFont="1" applyFill="1" applyBorder="1" applyAlignment="1">
      <alignment horizontal="center" vertical="center"/>
    </xf>
    <xf numFmtId="2" fontId="10" fillId="10" borderId="4" xfId="0" applyNumberFormat="1" applyFont="1" applyFill="1" applyBorder="1" applyAlignment="1">
      <alignment horizontal="center" vertical="center"/>
    </xf>
    <xf numFmtId="0" fontId="16" fillId="0" borderId="0" xfId="1" applyFont="1" applyAlignment="1">
      <alignment horizontal="left" vertical="center" wrapText="1"/>
    </xf>
    <xf numFmtId="0" fontId="30" fillId="0" borderId="15" xfId="0" applyFont="1" applyBorder="1" applyAlignment="1">
      <alignment horizontal="left" wrapText="1"/>
    </xf>
    <xf numFmtId="0" fontId="30" fillId="0" borderId="16" xfId="0" applyFont="1" applyBorder="1" applyAlignment="1">
      <alignment horizontal="left" wrapText="1"/>
    </xf>
    <xf numFmtId="0" fontId="30" fillId="0" borderId="17" xfId="0" applyFont="1" applyBorder="1" applyAlignment="1">
      <alignment horizontal="left" wrapText="1"/>
    </xf>
    <xf numFmtId="0" fontId="30" fillId="0" borderId="15" xfId="0" applyFont="1" applyBorder="1" applyAlignment="1">
      <alignment horizontal="center"/>
    </xf>
    <xf numFmtId="0" fontId="30" fillId="0" borderId="16" xfId="0" applyFont="1" applyBorder="1" applyAlignment="1">
      <alignment horizontal="center"/>
    </xf>
    <xf numFmtId="0" fontId="30" fillId="0" borderId="17" xfId="0" applyFont="1" applyBorder="1" applyAlignment="1">
      <alignment horizontal="center"/>
    </xf>
    <xf numFmtId="0" fontId="30" fillId="0" borderId="15" xfId="0" applyFont="1" applyBorder="1" applyAlignment="1">
      <alignment horizontal="left" vertical="top" wrapText="1"/>
    </xf>
    <xf numFmtId="0" fontId="30" fillId="0" borderId="16" xfId="0" applyFont="1" applyBorder="1" applyAlignment="1">
      <alignment horizontal="left" vertical="top" wrapText="1"/>
    </xf>
    <xf numFmtId="0" fontId="30" fillId="0" borderId="17" xfId="0" applyFont="1" applyBorder="1" applyAlignment="1">
      <alignment horizontal="left" vertical="top" wrapText="1"/>
    </xf>
    <xf numFmtId="0" fontId="0" fillId="0" borderId="0" xfId="0" applyBorder="1" applyAlignment="1">
      <alignment horizontal="left"/>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30" fillId="0" borderId="15" xfId="0" applyFont="1" applyBorder="1" applyAlignment="1">
      <alignment horizontal="left"/>
    </xf>
    <xf numFmtId="0" fontId="30" fillId="0" borderId="16" xfId="0" applyFont="1" applyBorder="1" applyAlignment="1">
      <alignment horizontal="left"/>
    </xf>
    <xf numFmtId="0" fontId="30" fillId="0" borderId="17" xfId="0" applyFont="1" applyBorder="1" applyAlignment="1">
      <alignment horizontal="left"/>
    </xf>
    <xf numFmtId="1" fontId="10" fillId="0" borderId="2" xfId="0" applyNumberFormat="1" applyFont="1" applyBorder="1" applyAlignment="1" applyProtection="1">
      <alignment horizontal="center" vertical="center"/>
    </xf>
    <xf numFmtId="1" fontId="10" fillId="0" borderId="4" xfId="0" applyNumberFormat="1" applyFont="1" applyBorder="1" applyAlignment="1" applyProtection="1">
      <alignment horizontal="center" vertical="center"/>
    </xf>
    <xf numFmtId="0" fontId="6" fillId="0" borderId="2" xfId="0" applyFont="1" applyFill="1" applyBorder="1" applyAlignment="1">
      <alignment horizontal="center" vertical="center"/>
    </xf>
    <xf numFmtId="0" fontId="10" fillId="5" borderId="4" xfId="0" applyFont="1" applyFill="1" applyBorder="1" applyAlignment="1">
      <alignment horizontal="left" vertical="center" wrapText="1"/>
    </xf>
    <xf numFmtId="1" fontId="10" fillId="0" borderId="3" xfId="0" applyNumberFormat="1" applyFont="1" applyBorder="1" applyAlignment="1" applyProtection="1">
      <alignment horizontal="center" vertical="center"/>
    </xf>
    <xf numFmtId="0" fontId="6" fillId="0" borderId="4" xfId="0" applyFont="1" applyFill="1" applyBorder="1" applyAlignment="1">
      <alignment horizontal="left" vertical="center"/>
    </xf>
    <xf numFmtId="10" fontId="10" fillId="10" borderId="2" xfId="0" applyNumberFormat="1" applyFont="1" applyFill="1" applyBorder="1" applyAlignment="1" applyProtection="1">
      <alignment horizontal="center" vertical="center"/>
      <protection locked="0"/>
    </xf>
    <xf numFmtId="10" fontId="10" fillId="10" borderId="4" xfId="0" applyNumberFormat="1" applyFont="1" applyFill="1" applyBorder="1" applyAlignment="1" applyProtection="1">
      <alignment horizontal="center" vertical="center"/>
      <protection locked="0"/>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29" fillId="0" borderId="0"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30" fillId="0" borderId="15" xfId="0" applyFont="1" applyBorder="1" applyAlignment="1">
      <alignment horizontal="center" vertical="top" wrapText="1"/>
    </xf>
    <xf numFmtId="0" fontId="30" fillId="0" borderId="16" xfId="0" applyFont="1" applyBorder="1" applyAlignment="1">
      <alignment horizontal="center" vertical="top" wrapText="1"/>
    </xf>
    <xf numFmtId="0" fontId="30" fillId="0" borderId="40" xfId="0" applyFont="1" applyBorder="1" applyAlignment="1">
      <alignment horizontal="center" vertical="top" wrapText="1"/>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30" fillId="0" borderId="0" xfId="0" applyFont="1" applyBorder="1" applyAlignment="1">
      <alignment horizontal="left" vertical="top" wrapText="1"/>
    </xf>
    <xf numFmtId="0" fontId="30" fillId="0" borderId="35" xfId="0" applyFont="1" applyBorder="1" applyAlignment="1">
      <alignment horizontal="center" vertical="center"/>
    </xf>
    <xf numFmtId="0" fontId="30" fillId="0" borderId="55" xfId="0" applyFont="1" applyBorder="1" applyAlignment="1">
      <alignment horizontal="center" vertical="center"/>
    </xf>
    <xf numFmtId="0" fontId="30" fillId="0" borderId="56" xfId="0" applyFont="1" applyBorder="1" applyAlignment="1">
      <alignment horizontal="center" vertical="center"/>
    </xf>
    <xf numFmtId="0" fontId="29" fillId="0" borderId="0" xfId="0" applyFont="1" applyAlignment="1">
      <alignment horizontal="left" vertical="center"/>
    </xf>
    <xf numFmtId="0" fontId="41" fillId="0" borderId="15"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5" xfId="0" applyFont="1" applyBorder="1" applyAlignment="1">
      <alignment horizontal="left" vertical="center" wrapText="1"/>
    </xf>
    <xf numFmtId="0" fontId="30" fillId="0" borderId="17" xfId="0" applyFont="1" applyBorder="1" applyAlignment="1">
      <alignment horizontal="left" vertical="center" wrapText="1"/>
    </xf>
    <xf numFmtId="0" fontId="36" fillId="0" borderId="0" xfId="0" applyFont="1" applyBorder="1" applyAlignment="1">
      <alignment horizontal="left" vertical="top" wrapText="1"/>
    </xf>
    <xf numFmtId="0" fontId="6" fillId="0" borderId="8" xfId="0" applyFont="1" applyFill="1" applyBorder="1" applyAlignment="1">
      <alignment horizontal="center"/>
    </xf>
    <xf numFmtId="0" fontId="6" fillId="0" borderId="0" xfId="0" applyFont="1" applyFill="1" applyBorder="1" applyAlignment="1">
      <alignment horizontal="center"/>
    </xf>
    <xf numFmtId="0" fontId="6" fillId="5" borderId="11" xfId="0" applyFont="1" applyFill="1" applyBorder="1" applyAlignment="1">
      <alignment horizontal="left" vertical="center"/>
    </xf>
    <xf numFmtId="0" fontId="6" fillId="5" borderId="10" xfId="0" applyFont="1" applyFill="1" applyBorder="1" applyAlignment="1">
      <alignment horizontal="left" vertical="center"/>
    </xf>
    <xf numFmtId="0" fontId="6" fillId="0" borderId="4" xfId="0" applyFont="1" applyBorder="1" applyAlignment="1">
      <alignment horizontal="center" vertical="center"/>
    </xf>
    <xf numFmtId="1" fontId="14" fillId="0" borderId="15" xfId="0" applyNumberFormat="1" applyFont="1" applyFill="1" applyBorder="1" applyAlignment="1" applyProtection="1">
      <alignment horizontal="center" vertical="center"/>
      <protection locked="0"/>
    </xf>
    <xf numFmtId="1" fontId="14" fillId="0" borderId="16" xfId="0" applyNumberFormat="1" applyFont="1" applyFill="1" applyBorder="1" applyAlignment="1" applyProtection="1">
      <alignment horizontal="center" vertical="center"/>
      <protection locked="0"/>
    </xf>
    <xf numFmtId="1" fontId="14" fillId="0" borderId="17" xfId="0" applyNumberFormat="1" applyFont="1" applyFill="1" applyBorder="1" applyAlignment="1" applyProtection="1">
      <alignment horizontal="center" vertical="center"/>
      <protection locked="0"/>
    </xf>
    <xf numFmtId="0" fontId="0" fillId="0" borderId="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14" fillId="0" borderId="15" xfId="0" applyFont="1" applyBorder="1" applyAlignment="1">
      <alignment horizontal="center"/>
    </xf>
    <xf numFmtId="0" fontId="14" fillId="0" borderId="16" xfId="0" applyFont="1" applyBorder="1" applyAlignment="1">
      <alignment horizontal="center"/>
    </xf>
    <xf numFmtId="0" fontId="14" fillId="0" borderId="17" xfId="0" applyFont="1" applyBorder="1" applyAlignment="1">
      <alignment horizontal="center"/>
    </xf>
    <xf numFmtId="0" fontId="0" fillId="0" borderId="0" xfId="0" applyAlignment="1">
      <alignment horizontal="center"/>
    </xf>
    <xf numFmtId="0" fontId="27" fillId="11" borderId="24" xfId="0" applyFont="1" applyFill="1" applyBorder="1" applyAlignment="1" applyProtection="1">
      <alignment horizontal="center" vertical="top" wrapText="1"/>
    </xf>
    <xf numFmtId="0" fontId="27" fillId="11" borderId="22" xfId="0" applyFont="1" applyFill="1" applyBorder="1" applyAlignment="1" applyProtection="1">
      <alignment horizontal="center" vertical="top" wrapText="1"/>
    </xf>
    <xf numFmtId="0" fontId="27" fillId="11" borderId="25" xfId="0" applyFont="1" applyFill="1" applyBorder="1" applyAlignment="1" applyProtection="1">
      <alignment horizontal="center" vertical="top" wrapText="1"/>
    </xf>
    <xf numFmtId="0" fontId="27" fillId="11" borderId="23" xfId="0" applyFont="1" applyFill="1" applyBorder="1" applyAlignment="1" applyProtection="1">
      <alignment horizontal="center" vertical="top" wrapText="1"/>
    </xf>
    <xf numFmtId="0" fontId="14" fillId="0" borderId="15" xfId="0" applyFont="1" applyFill="1" applyBorder="1" applyAlignment="1" applyProtection="1">
      <alignment horizontal="center" vertical="center"/>
      <protection locked="0"/>
    </xf>
    <xf numFmtId="0" fontId="14" fillId="0" borderId="16" xfId="0" applyFont="1" applyFill="1" applyBorder="1" applyAlignment="1" applyProtection="1">
      <alignment horizontal="center" vertical="center"/>
      <protection locked="0"/>
    </xf>
    <xf numFmtId="0" fontId="14" fillId="0" borderId="17" xfId="0" applyFont="1" applyFill="1" applyBorder="1" applyAlignment="1" applyProtection="1">
      <alignment horizontal="center" vertical="center"/>
      <protection locked="0"/>
    </xf>
    <xf numFmtId="0" fontId="27" fillId="11" borderId="21" xfId="0" applyFont="1" applyFill="1" applyBorder="1" applyAlignment="1" applyProtection="1">
      <alignment horizontal="center" vertical="top" wrapText="1"/>
    </xf>
    <xf numFmtId="0" fontId="29" fillId="0" borderId="0" xfId="0" applyFont="1" applyBorder="1" applyAlignment="1">
      <alignment horizontal="center" vertical="center"/>
    </xf>
    <xf numFmtId="0" fontId="30" fillId="0" borderId="0" xfId="0" applyFont="1" applyBorder="1" applyAlignment="1">
      <alignment horizontal="left" vertical="top"/>
    </xf>
    <xf numFmtId="0" fontId="0" fillId="0" borderId="9"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27" fillId="11" borderId="48" xfId="0" applyFont="1" applyFill="1" applyBorder="1" applyAlignment="1" applyProtection="1">
      <alignment horizontal="center" vertical="center" wrapText="1"/>
    </xf>
    <xf numFmtId="0" fontId="27" fillId="11" borderId="26" xfId="0" applyFont="1" applyFill="1" applyBorder="1" applyAlignment="1" applyProtection="1">
      <alignment horizontal="center" vertical="center" wrapText="1"/>
    </xf>
    <xf numFmtId="0" fontId="27" fillId="11" borderId="41" xfId="0" applyFont="1" applyFill="1" applyBorder="1" applyAlignment="1" applyProtection="1">
      <alignment horizontal="center" vertical="center" wrapText="1"/>
    </xf>
    <xf numFmtId="0" fontId="40" fillId="8" borderId="14" xfId="1" applyFont="1" applyFill="1" applyBorder="1" applyAlignment="1">
      <alignment horizontal="center" vertical="center"/>
    </xf>
    <xf numFmtId="0" fontId="40" fillId="0" borderId="14" xfId="1" applyFont="1" applyBorder="1" applyAlignment="1">
      <alignment horizontal="left" vertical="top"/>
    </xf>
    <xf numFmtId="0" fontId="14" fillId="0" borderId="14" xfId="0" applyFont="1" applyBorder="1" applyAlignment="1">
      <alignment horizontal="center" vertical="center" wrapText="1"/>
    </xf>
    <xf numFmtId="0" fontId="40" fillId="17" borderId="14" xfId="1" applyFont="1" applyFill="1" applyBorder="1" applyAlignment="1">
      <alignment horizontal="center" vertical="center"/>
    </xf>
    <xf numFmtId="0" fontId="40" fillId="19" borderId="14" xfId="1" applyFont="1" applyFill="1" applyBorder="1" applyAlignment="1">
      <alignment horizontal="center" vertical="center"/>
    </xf>
  </cellXfs>
  <cellStyles count="2">
    <cellStyle name="Hyperlink" xfId="1" builtinId="8"/>
    <cellStyle name="Normal" xfId="0" builtinId="0"/>
  </cellStyles>
  <dxfs count="31">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7" tint="-0.24994659260841701"/>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FF0000"/>
        </patternFill>
      </fill>
    </dxf>
    <dxf>
      <font>
        <color auto="1"/>
      </font>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8414238" cy="2286000"/>
    <xdr:sp macro="" textlink="">
      <xdr:nvSpPr>
        <xdr:cNvPr id="4" name="TextBox 3"/>
        <xdr:cNvSpPr txBox="1"/>
      </xdr:nvSpPr>
      <xdr:spPr>
        <a:xfrm>
          <a:off x="0" y="0"/>
          <a:ext cx="8414238" cy="228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2200" b="1">
              <a:solidFill>
                <a:schemeClr val="tx1"/>
              </a:solidFill>
              <a:effectLst/>
              <a:latin typeface="+mn-lt"/>
              <a:ea typeface="+mn-ea"/>
              <a:cs typeface="+mn-cs"/>
            </a:rPr>
            <a:t>I. (a) Data Completeness: The Percent of Children Included in your State's 2013 Outcomes Data (Indicator C3)  </a:t>
          </a:r>
        </a:p>
        <a:p>
          <a:pPr marL="0" marR="0" indent="0" defTabSz="914400" eaLnBrk="1" fontAlgn="auto" latinLnBrk="0" hangingPunct="1">
            <a:lnSpc>
              <a:spcPct val="100000"/>
            </a:lnSpc>
            <a:spcBef>
              <a:spcPts val="0"/>
            </a:spcBef>
            <a:spcAft>
              <a:spcPts val="0"/>
            </a:spcAft>
            <a:buClrTx/>
            <a:buSzTx/>
            <a:buFontTx/>
            <a:buNone/>
            <a:tabLst/>
            <a:defRPr/>
          </a:pPr>
          <a:endParaRPr lang="en-US" sz="12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mn-lt"/>
              <a:ea typeface="Calibri"/>
              <a:cs typeface="Times New Roman"/>
            </a:rPr>
            <a:t>Data completeness was calculated using the total number of Part C children who were included in your State’s FFY 2013 Outcomes Data (C3) and the total number of children your State reported in its FFY 2013 IDEA Section 618 data.  A percentage for your State was computed by dividing the number of children reported in your State’s Indicator C3 data by the number of children your State reported exited during FFY 2013 in the State’s FFY 2013 IDEA Section 618 Exit Data.</a:t>
          </a:r>
          <a:endParaRPr kumimoji="0" lang="en-US" sz="1100" b="0" i="0" u="none" strike="noStrike" kern="0" cap="none" spc="0" normalizeH="0" baseline="0" noProof="0">
            <a:ln>
              <a:noFill/>
            </a:ln>
            <a:solidFill>
              <a:prstClr val="black"/>
            </a:solidFill>
            <a:effectLst/>
            <a:uLnTx/>
            <a:uFillTx/>
            <a:latin typeface="+mn-lt"/>
            <a:ea typeface="+mn-ea"/>
            <a:cs typeface="+mn-cs"/>
          </a:endParaRP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28575</xdr:rowOff>
    </xdr:from>
    <xdr:to>
      <xdr:col>13</xdr:col>
      <xdr:colOff>1546225</xdr:colOff>
      <xdr:row>26</xdr:row>
      <xdr:rowOff>85725</xdr:rowOff>
    </xdr:to>
    <mc:AlternateContent xmlns:mc="http://schemas.openxmlformats.org/markup-compatibility/2006" xmlns:a14="http://schemas.microsoft.com/office/drawing/2010/main">
      <mc:Choice Requires="a14">
        <xdr:sp macro="" textlink="">
          <xdr:nvSpPr>
            <xdr:cNvPr id="2" name="TextBox 1"/>
            <xdr:cNvSpPr txBox="1"/>
          </xdr:nvSpPr>
          <xdr:spPr>
            <a:xfrm>
              <a:off x="0" y="1714500"/>
              <a:ext cx="11071225" cy="5391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Test of Proportional</a:t>
              </a:r>
              <a:r>
                <a:rPr lang="en-US" sz="1400" b="1" baseline="0">
                  <a:solidFill>
                    <a:schemeClr val="dk1"/>
                  </a:solidFill>
                  <a:effectLst/>
                  <a:latin typeface="+mn-lt"/>
                  <a:ea typeface="+mn-ea"/>
                  <a:cs typeface="+mn-cs"/>
                </a:rPr>
                <a:t> Difference Calculation Overview</a:t>
              </a:r>
              <a:endParaRPr lang="en-US" sz="1400" b="1">
                <a:solidFill>
                  <a:schemeClr val="dk1"/>
                </a:solidFill>
                <a:effectLst/>
                <a:latin typeface="+mn-lt"/>
                <a:ea typeface="+mn-ea"/>
                <a:cs typeface="+mn-cs"/>
              </a:endParaRPr>
            </a:p>
            <a:p>
              <a:pPr algn="l"/>
              <a:r>
                <a:rPr lang="en-US" sz="1400">
                  <a:solidFill>
                    <a:schemeClr val="dk1"/>
                  </a:solidFill>
                  <a:effectLst/>
                  <a:latin typeface="+mn-lt"/>
                  <a:ea typeface="+mn-ea"/>
                  <a:cs typeface="+mn-cs"/>
                </a:rPr>
                <a:t>The summary statement percentages from the previous year’s reporting were compared to the current year using an accepted formula (test of proportional difference) to determine whether the difference between the two percentages is statistically significant (or meaningful), based upon a significance level of </a:t>
              </a:r>
              <a:r>
                <a:rPr lang="en-US" sz="1400" i="1">
                  <a:solidFill>
                    <a:schemeClr val="dk1"/>
                  </a:solidFill>
                  <a:effectLst/>
                  <a:latin typeface="+mn-lt"/>
                  <a:ea typeface="+mn-ea"/>
                  <a:cs typeface="+mn-cs"/>
                </a:rPr>
                <a:t>p</a:t>
              </a:r>
              <a:r>
                <a:rPr lang="en-US" sz="1400">
                  <a:solidFill>
                    <a:schemeClr val="dk1"/>
                  </a:solidFill>
                  <a:effectLst/>
                  <a:latin typeface="+mn-lt"/>
                  <a:ea typeface="+mn-ea"/>
                  <a:cs typeface="+mn-cs"/>
                </a:rPr>
                <a:t>&lt;=.05. The statistical test has several steps.</a:t>
              </a:r>
              <a:br>
                <a:rPr lang="en-US" sz="1400">
                  <a:solidFill>
                    <a:schemeClr val="dk1"/>
                  </a:solidFill>
                  <a:effectLst/>
                  <a:latin typeface="+mn-lt"/>
                  <a:ea typeface="+mn-ea"/>
                  <a:cs typeface="+mn-cs"/>
                </a:rPr>
              </a:br>
              <a:endParaRPr lang="en-US" sz="1400">
                <a:solidFill>
                  <a:schemeClr val="dk1"/>
                </a:solidFill>
                <a:effectLst/>
                <a:latin typeface="+mn-lt"/>
                <a:ea typeface="+mn-ea"/>
                <a:cs typeface="+mn-cs"/>
              </a:endParaRPr>
            </a:p>
            <a:p>
              <a:r>
                <a:rPr lang="en-US" sz="1400" baseline="0">
                  <a:solidFill>
                    <a:schemeClr val="dk1"/>
                  </a:solidFill>
                  <a:effectLst/>
                  <a:latin typeface="+mn-lt"/>
                  <a:ea typeface="+mn-ea"/>
                  <a:cs typeface="+mn-cs"/>
                </a:rPr>
                <a:t>Step 1: Compute the difference between the FFY 2013 and FFY2012 summary statements.</a:t>
              </a:r>
            </a:p>
            <a:p>
              <a:r>
                <a:rPr lang="en-US" sz="1400" baseline="0">
                  <a:solidFill>
                    <a:schemeClr val="dk1"/>
                  </a:solidFill>
                  <a:effectLst/>
                  <a:latin typeface="+mn-lt"/>
                  <a:ea typeface="+mn-ea"/>
                  <a:cs typeface="+mn-cs"/>
                </a:rPr>
                <a:t>e.g. C3A FFY2013% - C3A FFY2012% = Difference in proportions</a:t>
              </a:r>
              <a:br>
                <a:rPr lang="en-US" sz="1400" baseline="0">
                  <a:solidFill>
                    <a:schemeClr val="dk1"/>
                  </a:solidFill>
                  <a:effectLst/>
                  <a:latin typeface="+mn-lt"/>
                  <a:ea typeface="+mn-ea"/>
                  <a:cs typeface="+mn-cs"/>
                </a:rPr>
              </a:br>
              <a:endParaRPr lang="en-US" sz="1400" baseline="0">
                <a:solidFill>
                  <a:schemeClr val="dk1"/>
                </a:solidFill>
                <a:effectLst/>
                <a:latin typeface="+mn-lt"/>
                <a:ea typeface="+mn-ea"/>
                <a:cs typeface="+mn-cs"/>
              </a:endParaRPr>
            </a:p>
            <a:p>
              <a:r>
                <a:rPr lang="en-US" sz="1400" baseline="0">
                  <a:solidFill>
                    <a:schemeClr val="dk1"/>
                  </a:solidFill>
                  <a:effectLst/>
                  <a:latin typeface="+mn-lt"/>
                  <a:ea typeface="+mn-ea"/>
                  <a:cs typeface="+mn-cs"/>
                </a:rPr>
                <a:t>Step 2: Compute the standard error of the difference in proportions using the following formula which takes into account the value of the summary statement from both years and the number of children that the summary statement is based on</a:t>
              </a:r>
            </a:p>
            <a:p>
              <a14:m>
                <m:oMath xmlns:m="http://schemas.openxmlformats.org/officeDocument/2006/math">
                  <m:rad>
                    <m:radPr>
                      <m:degHide m:val="on"/>
                      <m:ctrlPr>
                        <a:rPr lang="en-US" sz="1400" i="1" baseline="0">
                          <a:solidFill>
                            <a:schemeClr val="dk1"/>
                          </a:solidFill>
                          <a:effectLst/>
                          <a:latin typeface="Cambria Math"/>
                          <a:ea typeface="+mn-ea"/>
                          <a:cs typeface="+mn-cs"/>
                        </a:rPr>
                      </m:ctrlPr>
                    </m:radPr>
                    <m:deg/>
                    <m:e>
                      <m:r>
                        <a:rPr lang="en-US" sz="1400" baseline="0">
                          <a:solidFill>
                            <a:schemeClr val="dk1"/>
                          </a:solidFill>
                          <a:effectLst/>
                          <a:latin typeface="Cambria Math"/>
                          <a:ea typeface="+mn-ea"/>
                          <a:cs typeface="+mn-cs"/>
                        </a:rPr>
                        <m:t>(</m:t>
                      </m:r>
                      <m:f>
                        <m:fPr>
                          <m:ctrlPr>
                            <a:rPr lang="en-US" sz="1400" i="1" baseline="0">
                              <a:solidFill>
                                <a:schemeClr val="dk1"/>
                              </a:solidFill>
                              <a:effectLst/>
                              <a:latin typeface="Cambria Math"/>
                              <a:ea typeface="+mn-ea"/>
                              <a:cs typeface="+mn-cs"/>
                            </a:rPr>
                          </m:ctrlPr>
                        </m:fPr>
                        <m:num>
                          <m:r>
                            <m:rPr>
                              <m:sty m:val="p"/>
                            </m:rPr>
                            <a:rPr lang="en-US" sz="1400" baseline="0">
                              <a:solidFill>
                                <a:schemeClr val="dk1"/>
                              </a:solidFill>
                              <a:effectLst/>
                              <a:latin typeface="Cambria Math"/>
                              <a:ea typeface="+mn-ea"/>
                              <a:cs typeface="+mn-cs"/>
                            </a:rPr>
                            <m:t>FFY</m:t>
                          </m:r>
                          <m:r>
                            <a:rPr lang="en-US" sz="1400" baseline="0">
                              <a:solidFill>
                                <a:schemeClr val="dk1"/>
                              </a:solidFill>
                              <a:effectLst/>
                              <a:latin typeface="Cambria Math"/>
                              <a:ea typeface="+mn-ea"/>
                              <a:cs typeface="+mn-cs"/>
                            </a:rPr>
                            <m:t>2012%</m:t>
                          </m:r>
                          <m:r>
                            <a:rPr lang="en-US" sz="1400" i="1" baseline="0">
                              <a:solidFill>
                                <a:schemeClr val="dk1"/>
                              </a:solidFill>
                              <a:effectLst/>
                              <a:latin typeface="Cambria Math"/>
                              <a:ea typeface="+mn-ea"/>
                              <a:cs typeface="+mn-cs"/>
                            </a:rPr>
                            <m:t>∗</m:t>
                          </m:r>
                          <m:r>
                            <a:rPr lang="en-US" sz="1400" baseline="0">
                              <a:solidFill>
                                <a:schemeClr val="dk1"/>
                              </a:solidFill>
                              <a:effectLst/>
                              <a:latin typeface="Cambria Math"/>
                              <a:ea typeface="+mn-ea"/>
                              <a:cs typeface="+mn-cs"/>
                            </a:rPr>
                            <m:t>(1</m:t>
                          </m:r>
                          <m:r>
                            <a:rPr lang="en-US" sz="1400" i="1" baseline="0">
                              <a:solidFill>
                                <a:schemeClr val="dk1"/>
                              </a:solidFill>
                              <a:effectLst/>
                              <a:latin typeface="Cambria Math"/>
                              <a:ea typeface="+mn-ea"/>
                              <a:cs typeface="+mn-cs"/>
                            </a:rPr>
                            <m:t>−</m:t>
                          </m:r>
                          <m:r>
                            <m:rPr>
                              <m:sty m:val="p"/>
                            </m:rPr>
                            <a:rPr lang="en-US" sz="1400" baseline="0">
                              <a:solidFill>
                                <a:schemeClr val="dk1"/>
                              </a:solidFill>
                              <a:effectLst/>
                              <a:latin typeface="Cambria Math"/>
                              <a:ea typeface="+mn-ea"/>
                              <a:cs typeface="+mn-cs"/>
                            </a:rPr>
                            <m:t>FFY</m:t>
                          </m:r>
                          <m:r>
                            <a:rPr lang="en-US" sz="1400" baseline="0">
                              <a:solidFill>
                                <a:schemeClr val="dk1"/>
                              </a:solidFill>
                              <a:effectLst/>
                              <a:latin typeface="Cambria Math"/>
                              <a:ea typeface="+mn-ea"/>
                              <a:cs typeface="+mn-cs"/>
                            </a:rPr>
                            <m:t>2012%)</m:t>
                          </m:r>
                        </m:num>
                        <m:den>
                          <m:r>
                            <m:rPr>
                              <m:sty m:val="p"/>
                            </m:rPr>
                            <a:rPr lang="en-US" sz="1400" baseline="0">
                              <a:solidFill>
                                <a:schemeClr val="dk1"/>
                              </a:solidFill>
                              <a:effectLst/>
                              <a:latin typeface="Cambria Math"/>
                              <a:ea typeface="+mn-ea"/>
                              <a:cs typeface="+mn-cs"/>
                            </a:rPr>
                            <m:t>FFY</m:t>
                          </m:r>
                          <m:r>
                            <a:rPr lang="en-US" sz="1400" baseline="0">
                              <a:solidFill>
                                <a:schemeClr val="dk1"/>
                              </a:solidFill>
                              <a:effectLst/>
                              <a:latin typeface="Cambria Math"/>
                              <a:ea typeface="+mn-ea"/>
                              <a:cs typeface="+mn-cs"/>
                            </a:rPr>
                            <m:t>2012_</m:t>
                          </m:r>
                          <m:r>
                            <m:rPr>
                              <m:sty m:val="p"/>
                            </m:rPr>
                            <a:rPr lang="en-US" sz="1400" baseline="0">
                              <a:solidFill>
                                <a:schemeClr val="dk1"/>
                              </a:solidFill>
                              <a:effectLst/>
                              <a:latin typeface="Cambria Math"/>
                              <a:ea typeface="+mn-ea"/>
                              <a:cs typeface="+mn-cs"/>
                            </a:rPr>
                            <m:t>N</m:t>
                          </m:r>
                        </m:den>
                      </m:f>
                      <m:r>
                        <a:rPr lang="en-US" sz="1400" baseline="0">
                          <a:solidFill>
                            <a:schemeClr val="dk1"/>
                          </a:solidFill>
                          <a:effectLst/>
                          <a:latin typeface="Cambria Math"/>
                          <a:ea typeface="+mn-ea"/>
                          <a:cs typeface="+mn-cs"/>
                        </a:rPr>
                        <m:t>+</m:t>
                      </m:r>
                      <m:f>
                        <m:fPr>
                          <m:ctrlPr>
                            <a:rPr lang="en-US" sz="1400" i="1" baseline="0">
                              <a:solidFill>
                                <a:schemeClr val="dk1"/>
                              </a:solidFill>
                              <a:effectLst/>
                              <a:latin typeface="Cambria Math"/>
                              <a:ea typeface="+mn-ea"/>
                              <a:cs typeface="+mn-cs"/>
                            </a:rPr>
                          </m:ctrlPr>
                        </m:fPr>
                        <m:num>
                          <m:r>
                            <m:rPr>
                              <m:sty m:val="p"/>
                            </m:rPr>
                            <a:rPr lang="en-US" sz="1400" baseline="0">
                              <a:solidFill>
                                <a:schemeClr val="dk1"/>
                              </a:solidFill>
                              <a:effectLst/>
                              <a:latin typeface="Cambria Math"/>
                              <a:ea typeface="+mn-ea"/>
                              <a:cs typeface="+mn-cs"/>
                            </a:rPr>
                            <m:t>FFY</m:t>
                          </m:r>
                          <m:r>
                            <a:rPr lang="en-US" sz="1400" baseline="0">
                              <a:solidFill>
                                <a:schemeClr val="dk1"/>
                              </a:solidFill>
                              <a:effectLst/>
                              <a:latin typeface="Cambria Math"/>
                              <a:ea typeface="+mn-ea"/>
                              <a:cs typeface="+mn-cs"/>
                            </a:rPr>
                            <m:t>2013%</m:t>
                          </m:r>
                          <m:r>
                            <a:rPr lang="en-US" sz="1400" i="1" baseline="0">
                              <a:solidFill>
                                <a:schemeClr val="dk1"/>
                              </a:solidFill>
                              <a:effectLst/>
                              <a:latin typeface="Cambria Math"/>
                              <a:ea typeface="+mn-ea"/>
                              <a:cs typeface="+mn-cs"/>
                            </a:rPr>
                            <m:t>∗</m:t>
                          </m:r>
                          <m:r>
                            <a:rPr lang="en-US" sz="1400" baseline="0">
                              <a:solidFill>
                                <a:schemeClr val="dk1"/>
                              </a:solidFill>
                              <a:effectLst/>
                              <a:latin typeface="Cambria Math"/>
                              <a:ea typeface="+mn-ea"/>
                              <a:cs typeface="+mn-cs"/>
                            </a:rPr>
                            <m:t>(1</m:t>
                          </m:r>
                          <m:r>
                            <a:rPr lang="en-US" sz="1400" i="1" baseline="0">
                              <a:solidFill>
                                <a:schemeClr val="dk1"/>
                              </a:solidFill>
                              <a:effectLst/>
                              <a:latin typeface="Cambria Math"/>
                              <a:ea typeface="+mn-ea"/>
                              <a:cs typeface="+mn-cs"/>
                            </a:rPr>
                            <m:t>−</m:t>
                          </m:r>
                          <m:r>
                            <m:rPr>
                              <m:sty m:val="p"/>
                            </m:rPr>
                            <a:rPr lang="en-US" sz="1400" baseline="0">
                              <a:solidFill>
                                <a:schemeClr val="dk1"/>
                              </a:solidFill>
                              <a:effectLst/>
                              <a:latin typeface="Cambria Math"/>
                              <a:ea typeface="+mn-ea"/>
                              <a:cs typeface="+mn-cs"/>
                            </a:rPr>
                            <m:t>FFY</m:t>
                          </m:r>
                          <m:r>
                            <a:rPr lang="en-US" sz="1400" baseline="0">
                              <a:solidFill>
                                <a:schemeClr val="dk1"/>
                              </a:solidFill>
                              <a:effectLst/>
                              <a:latin typeface="Cambria Math"/>
                              <a:ea typeface="+mn-ea"/>
                              <a:cs typeface="+mn-cs"/>
                            </a:rPr>
                            <m:t>2013%)</m:t>
                          </m:r>
                        </m:num>
                        <m:den>
                          <m:r>
                            <m:rPr>
                              <m:sty m:val="p"/>
                            </m:rPr>
                            <a:rPr lang="en-US" sz="1400" baseline="0">
                              <a:solidFill>
                                <a:schemeClr val="dk1"/>
                              </a:solidFill>
                              <a:effectLst/>
                              <a:latin typeface="Cambria Math"/>
                              <a:ea typeface="+mn-ea"/>
                              <a:cs typeface="+mn-cs"/>
                            </a:rPr>
                            <m:t>FFY</m:t>
                          </m:r>
                          <m:r>
                            <a:rPr lang="en-US" sz="1400" baseline="0">
                              <a:solidFill>
                                <a:schemeClr val="dk1"/>
                              </a:solidFill>
                              <a:effectLst/>
                              <a:latin typeface="Cambria Math"/>
                              <a:ea typeface="+mn-ea"/>
                              <a:cs typeface="+mn-cs"/>
                            </a:rPr>
                            <m:t>2013_</m:t>
                          </m:r>
                          <m:r>
                            <m:rPr>
                              <m:sty m:val="p"/>
                            </m:rPr>
                            <a:rPr lang="en-US" sz="1400" baseline="0">
                              <a:solidFill>
                                <a:schemeClr val="dk1"/>
                              </a:solidFill>
                              <a:effectLst/>
                              <a:latin typeface="Cambria Math"/>
                              <a:ea typeface="+mn-ea"/>
                              <a:cs typeface="+mn-cs"/>
                            </a:rPr>
                            <m:t>N</m:t>
                          </m:r>
                        </m:den>
                      </m:f>
                      <m:r>
                        <a:rPr lang="en-US" sz="1400" baseline="0">
                          <a:solidFill>
                            <a:schemeClr val="dk1"/>
                          </a:solidFill>
                          <a:effectLst/>
                          <a:latin typeface="Cambria Math"/>
                          <a:ea typeface="+mn-ea"/>
                          <a:cs typeface="+mn-cs"/>
                        </a:rPr>
                        <m:t>)</m:t>
                      </m:r>
                    </m:e>
                  </m:rad>
                </m:oMath>
              </a14:m>
              <a:r>
                <a:rPr lang="en-US" sz="1400" baseline="0">
                  <a:solidFill>
                    <a:schemeClr val="dk1"/>
                  </a:solidFill>
                  <a:effectLst/>
                  <a:latin typeface="+mn-lt"/>
                  <a:ea typeface="+mn-ea"/>
                  <a:cs typeface="+mn-cs"/>
                </a:rPr>
                <a:t> = Standard error of the difference in proportions </a:t>
              </a:r>
              <a:endParaRPr lang="en-US" sz="1200" baseline="0">
                <a:solidFill>
                  <a:schemeClr val="dk1"/>
                </a:solidFill>
                <a:effectLst/>
                <a:latin typeface="+mn-lt"/>
                <a:ea typeface="+mn-ea"/>
                <a:cs typeface="+mn-cs"/>
              </a:endParaRPr>
            </a:p>
            <a:p>
              <a:endParaRPr lang="en-US" sz="1200">
                <a:solidFill>
                  <a:schemeClr val="dk1"/>
                </a:solidFill>
                <a:effectLst/>
                <a:latin typeface="+mn-lt"/>
                <a:ea typeface="+mn-ea"/>
                <a:cs typeface="+mn-cs"/>
              </a:endParaRPr>
            </a:p>
            <a:p>
              <a:r>
                <a:rPr lang="en-US" sz="1400">
                  <a:solidFill>
                    <a:schemeClr val="dk1"/>
                  </a:solidFill>
                  <a:effectLst/>
                  <a:latin typeface="+mn-lt"/>
                  <a:ea typeface="+mn-ea"/>
                  <a:cs typeface="+mn-cs"/>
                </a:rPr>
                <a:t>Step 3: The difference in proportions is then divided by the standard error of the difference to compute a z score. </a:t>
              </a:r>
            </a:p>
            <a:p>
              <a:r>
                <a:rPr lang="en-US" sz="1400">
                  <a:solidFill>
                    <a:schemeClr val="dk1"/>
                  </a:solidFill>
                  <a:effectLst/>
                  <a:latin typeface="+mn-lt"/>
                  <a:ea typeface="+mn-ea"/>
                  <a:cs typeface="+mn-cs"/>
                </a:rPr>
                <a:t>Difference in proportions /standard error of the difference in proportions =z score </a:t>
              </a:r>
              <a:br>
                <a:rPr lang="en-US" sz="1400">
                  <a:solidFill>
                    <a:schemeClr val="dk1"/>
                  </a:solidFill>
                  <a:effectLst/>
                  <a:latin typeface="+mn-lt"/>
                  <a:ea typeface="+mn-ea"/>
                  <a:cs typeface="+mn-cs"/>
                </a:rPr>
              </a:br>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Step 4: The statistical significance of the z score is located within a table and the </a:t>
              </a:r>
              <a:r>
                <a:rPr lang="en-US" sz="1400" i="1">
                  <a:solidFill>
                    <a:schemeClr val="dk1"/>
                  </a:solidFill>
                  <a:effectLst/>
                  <a:latin typeface="+mn-lt"/>
                  <a:ea typeface="+mn-ea"/>
                  <a:cs typeface="+mn-cs"/>
                </a:rPr>
                <a:t>p</a:t>
              </a:r>
              <a:r>
                <a:rPr lang="en-US" sz="1400">
                  <a:solidFill>
                    <a:schemeClr val="dk1"/>
                  </a:solidFill>
                  <a:effectLst/>
                  <a:latin typeface="+mn-lt"/>
                  <a:ea typeface="+mn-ea"/>
                  <a:cs typeface="+mn-cs"/>
                </a:rPr>
                <a:t> value is determined. </a:t>
              </a:r>
              <a:br>
                <a:rPr lang="en-US" sz="1400">
                  <a:solidFill>
                    <a:schemeClr val="dk1"/>
                  </a:solidFill>
                  <a:effectLst/>
                  <a:latin typeface="+mn-lt"/>
                  <a:ea typeface="+mn-ea"/>
                  <a:cs typeface="+mn-cs"/>
                </a:rPr>
              </a:br>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Step 5: The difference in proportions is coded as statistically significant if the </a:t>
              </a:r>
              <a:r>
                <a:rPr lang="en-US" sz="1400" i="1">
                  <a:solidFill>
                    <a:schemeClr val="dk1"/>
                  </a:solidFill>
                  <a:effectLst/>
                  <a:latin typeface="+mn-lt"/>
                  <a:ea typeface="+mn-ea"/>
                  <a:cs typeface="+mn-cs"/>
                </a:rPr>
                <a:t>p </a:t>
              </a:r>
              <a:r>
                <a:rPr lang="en-US" sz="1400">
                  <a:solidFill>
                    <a:schemeClr val="dk1"/>
                  </a:solidFill>
                  <a:effectLst/>
                  <a:latin typeface="+mn-lt"/>
                  <a:ea typeface="+mn-ea"/>
                  <a:cs typeface="+mn-cs"/>
                </a:rPr>
                <a:t>value is it is less than or equal to .05.</a:t>
              </a:r>
              <a:br>
                <a:rPr lang="en-US" sz="1400">
                  <a:solidFill>
                    <a:schemeClr val="dk1"/>
                  </a:solidFill>
                  <a:effectLst/>
                  <a:latin typeface="+mn-lt"/>
                  <a:ea typeface="+mn-ea"/>
                  <a:cs typeface="+mn-cs"/>
                </a:rPr>
              </a:br>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Step 6: Information about the statistical significance of the change and the direction of the change are combined to arrive at a score for the summary statement using the following criteria</a:t>
              </a:r>
            </a:p>
            <a:p>
              <a:pPr lvl="0"/>
              <a:r>
                <a:rPr lang="en-US" sz="1400">
                  <a:solidFill>
                    <a:schemeClr val="dk1"/>
                  </a:solidFill>
                  <a:effectLst/>
                  <a:latin typeface="+mn-lt"/>
                  <a:ea typeface="+mn-ea"/>
                  <a:cs typeface="+mn-cs"/>
                </a:rPr>
                <a:t>0 = statistically significant decrease from FFY 2012 to FFY 2013</a:t>
              </a:r>
            </a:p>
            <a:p>
              <a:pPr lvl="0"/>
              <a:r>
                <a:rPr lang="en-US" sz="1400">
                  <a:solidFill>
                    <a:schemeClr val="dk1"/>
                  </a:solidFill>
                  <a:effectLst/>
                  <a:latin typeface="+mn-lt"/>
                  <a:ea typeface="+mn-ea"/>
                  <a:cs typeface="+mn-cs"/>
                </a:rPr>
                <a:t>1 = No statistically significant change</a:t>
              </a:r>
            </a:p>
            <a:p>
              <a:pPr lvl="0"/>
              <a:r>
                <a:rPr lang="en-US" sz="1400">
                  <a:solidFill>
                    <a:schemeClr val="dk1"/>
                  </a:solidFill>
                  <a:effectLst/>
                  <a:latin typeface="+mn-lt"/>
                  <a:ea typeface="+mn-ea"/>
                  <a:cs typeface="+mn-cs"/>
                </a:rPr>
                <a:t>2= statistically significant increase from FFY 2012 to FFY 2013</a:t>
              </a:r>
              <a:br>
                <a:rPr lang="en-US" sz="1400">
                  <a:solidFill>
                    <a:schemeClr val="dk1"/>
                  </a:solidFill>
                  <a:effectLst/>
                  <a:latin typeface="+mn-lt"/>
                  <a:ea typeface="+mn-ea"/>
                  <a:cs typeface="+mn-cs"/>
                </a:rPr>
              </a:br>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Step 7: The score for each summary statement and outcome is summed to create a total score with a minimum of 0 and a maximum of 12.  The score for</a:t>
              </a:r>
              <a:r>
                <a:rPr lang="en-US" sz="1400" baseline="0">
                  <a:solidFill>
                    <a:schemeClr val="dk1"/>
                  </a:solidFill>
                  <a:effectLst/>
                  <a:latin typeface="+mn-lt"/>
                  <a:ea typeface="+mn-ea"/>
                  <a:cs typeface="+mn-cs"/>
                </a:rPr>
                <a:t> the test of proportional difference is assigned a score for the Indicator 3 Overall Performance Change Score based on the following cut points:</a:t>
              </a:r>
              <a:endParaRPr lang="en-US" sz="1400">
                <a:solidFill>
                  <a:schemeClr val="dk1"/>
                </a:solidFill>
                <a:effectLst/>
                <a:latin typeface="+mn-lt"/>
                <a:ea typeface="+mn-ea"/>
                <a:cs typeface="+mn-cs"/>
              </a:endParaRPr>
            </a:p>
          </xdr:txBody>
        </xdr:sp>
      </mc:Choice>
      <mc:Fallback xmlns="">
        <xdr:sp macro="" textlink="">
          <xdr:nvSpPr>
            <xdr:cNvPr id="2" name="TextBox 1"/>
            <xdr:cNvSpPr txBox="1"/>
          </xdr:nvSpPr>
          <xdr:spPr>
            <a:xfrm>
              <a:off x="0" y="1714500"/>
              <a:ext cx="11071225" cy="5391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Test of Proportional</a:t>
              </a:r>
              <a:r>
                <a:rPr lang="en-US" sz="1400" b="1" baseline="0">
                  <a:solidFill>
                    <a:schemeClr val="dk1"/>
                  </a:solidFill>
                  <a:effectLst/>
                  <a:latin typeface="+mn-lt"/>
                  <a:ea typeface="+mn-ea"/>
                  <a:cs typeface="+mn-cs"/>
                </a:rPr>
                <a:t> Difference Calculation Overview</a:t>
              </a:r>
              <a:endParaRPr lang="en-US" sz="1400" b="1">
                <a:solidFill>
                  <a:schemeClr val="dk1"/>
                </a:solidFill>
                <a:effectLst/>
                <a:latin typeface="+mn-lt"/>
                <a:ea typeface="+mn-ea"/>
                <a:cs typeface="+mn-cs"/>
              </a:endParaRPr>
            </a:p>
            <a:p>
              <a:pPr algn="l"/>
              <a:r>
                <a:rPr lang="en-US" sz="1400">
                  <a:solidFill>
                    <a:schemeClr val="dk1"/>
                  </a:solidFill>
                  <a:effectLst/>
                  <a:latin typeface="+mn-lt"/>
                  <a:ea typeface="+mn-ea"/>
                  <a:cs typeface="+mn-cs"/>
                </a:rPr>
                <a:t>The summary statement percentages from the previous year’s reporting were compared to the current year using an accepted formula (test of proportional difference) to determine whether the difference between the two percentages is statistically significant (or meaningful), based upon a significance level of </a:t>
              </a:r>
              <a:r>
                <a:rPr lang="en-US" sz="1400" i="1">
                  <a:solidFill>
                    <a:schemeClr val="dk1"/>
                  </a:solidFill>
                  <a:effectLst/>
                  <a:latin typeface="+mn-lt"/>
                  <a:ea typeface="+mn-ea"/>
                  <a:cs typeface="+mn-cs"/>
                </a:rPr>
                <a:t>p</a:t>
              </a:r>
              <a:r>
                <a:rPr lang="en-US" sz="1400">
                  <a:solidFill>
                    <a:schemeClr val="dk1"/>
                  </a:solidFill>
                  <a:effectLst/>
                  <a:latin typeface="+mn-lt"/>
                  <a:ea typeface="+mn-ea"/>
                  <a:cs typeface="+mn-cs"/>
                </a:rPr>
                <a:t>&lt;=.05. The statistical test has several steps.</a:t>
              </a:r>
              <a:br>
                <a:rPr lang="en-US" sz="1400">
                  <a:solidFill>
                    <a:schemeClr val="dk1"/>
                  </a:solidFill>
                  <a:effectLst/>
                  <a:latin typeface="+mn-lt"/>
                  <a:ea typeface="+mn-ea"/>
                  <a:cs typeface="+mn-cs"/>
                </a:rPr>
              </a:br>
              <a:endParaRPr lang="en-US" sz="1400">
                <a:solidFill>
                  <a:schemeClr val="dk1"/>
                </a:solidFill>
                <a:effectLst/>
                <a:latin typeface="+mn-lt"/>
                <a:ea typeface="+mn-ea"/>
                <a:cs typeface="+mn-cs"/>
              </a:endParaRPr>
            </a:p>
            <a:p>
              <a:r>
                <a:rPr lang="en-US" sz="1400" baseline="0">
                  <a:solidFill>
                    <a:schemeClr val="dk1"/>
                  </a:solidFill>
                  <a:effectLst/>
                  <a:latin typeface="+mn-lt"/>
                  <a:ea typeface="+mn-ea"/>
                  <a:cs typeface="+mn-cs"/>
                </a:rPr>
                <a:t>Step 1: Compute the difference between the FFY 2013 and FFY2012 summary statements.</a:t>
              </a:r>
            </a:p>
            <a:p>
              <a:r>
                <a:rPr lang="en-US" sz="1400" baseline="0">
                  <a:solidFill>
                    <a:schemeClr val="dk1"/>
                  </a:solidFill>
                  <a:effectLst/>
                  <a:latin typeface="+mn-lt"/>
                  <a:ea typeface="+mn-ea"/>
                  <a:cs typeface="+mn-cs"/>
                </a:rPr>
                <a:t>e.g. C3A FFY2013% - C3A FFY2012% = Difference in proportions</a:t>
              </a:r>
              <a:br>
                <a:rPr lang="en-US" sz="1400" baseline="0">
                  <a:solidFill>
                    <a:schemeClr val="dk1"/>
                  </a:solidFill>
                  <a:effectLst/>
                  <a:latin typeface="+mn-lt"/>
                  <a:ea typeface="+mn-ea"/>
                  <a:cs typeface="+mn-cs"/>
                </a:rPr>
              </a:br>
              <a:endParaRPr lang="en-US" sz="1400" baseline="0">
                <a:solidFill>
                  <a:schemeClr val="dk1"/>
                </a:solidFill>
                <a:effectLst/>
                <a:latin typeface="+mn-lt"/>
                <a:ea typeface="+mn-ea"/>
                <a:cs typeface="+mn-cs"/>
              </a:endParaRPr>
            </a:p>
            <a:p>
              <a:r>
                <a:rPr lang="en-US" sz="1400" baseline="0">
                  <a:solidFill>
                    <a:schemeClr val="dk1"/>
                  </a:solidFill>
                  <a:effectLst/>
                  <a:latin typeface="+mn-lt"/>
                  <a:ea typeface="+mn-ea"/>
                  <a:cs typeface="+mn-cs"/>
                </a:rPr>
                <a:t>Step 2: Compute the standard error of the difference in proportions using the following formula which takes into account the value of the summary statement from both years and the number of children that the summary statement is based on</a:t>
              </a:r>
            </a:p>
            <a:p>
              <a:r>
                <a:rPr lang="en-US" sz="1400" i="0" baseline="0">
                  <a:solidFill>
                    <a:schemeClr val="dk1"/>
                  </a:solidFill>
                  <a:effectLst/>
                  <a:latin typeface="+mn-lt"/>
                  <a:ea typeface="+mn-ea"/>
                  <a:cs typeface="+mn-cs"/>
                </a:rPr>
                <a:t>√(((FFY2012%∗(1−FFY2012%))/(FFY2012_N)+(FFY2013%∗(1−FFY2013%))/(FFY2013_N)))</a:t>
              </a:r>
              <a:r>
                <a:rPr lang="en-US" sz="1400" baseline="0">
                  <a:solidFill>
                    <a:schemeClr val="dk1"/>
                  </a:solidFill>
                  <a:effectLst/>
                  <a:latin typeface="+mn-lt"/>
                  <a:ea typeface="+mn-ea"/>
                  <a:cs typeface="+mn-cs"/>
                </a:rPr>
                <a:t> = Standard error of the difference in proportions </a:t>
              </a:r>
              <a:endParaRPr lang="en-US" sz="1200" baseline="0">
                <a:solidFill>
                  <a:schemeClr val="dk1"/>
                </a:solidFill>
                <a:effectLst/>
                <a:latin typeface="+mn-lt"/>
                <a:ea typeface="+mn-ea"/>
                <a:cs typeface="+mn-cs"/>
              </a:endParaRPr>
            </a:p>
            <a:p>
              <a:endParaRPr lang="en-US" sz="1200">
                <a:solidFill>
                  <a:schemeClr val="dk1"/>
                </a:solidFill>
                <a:effectLst/>
                <a:latin typeface="+mn-lt"/>
                <a:ea typeface="+mn-ea"/>
                <a:cs typeface="+mn-cs"/>
              </a:endParaRPr>
            </a:p>
            <a:p>
              <a:r>
                <a:rPr lang="en-US" sz="1400">
                  <a:solidFill>
                    <a:schemeClr val="dk1"/>
                  </a:solidFill>
                  <a:effectLst/>
                  <a:latin typeface="+mn-lt"/>
                  <a:ea typeface="+mn-ea"/>
                  <a:cs typeface="+mn-cs"/>
                </a:rPr>
                <a:t>Step 3: The difference in proportions is then divided by the standard error of the difference to compute a z score. </a:t>
              </a:r>
            </a:p>
            <a:p>
              <a:r>
                <a:rPr lang="en-US" sz="1400">
                  <a:solidFill>
                    <a:schemeClr val="dk1"/>
                  </a:solidFill>
                  <a:effectLst/>
                  <a:latin typeface="+mn-lt"/>
                  <a:ea typeface="+mn-ea"/>
                  <a:cs typeface="+mn-cs"/>
                </a:rPr>
                <a:t>Difference in proportions /standard error of the difference in proportions =z score </a:t>
              </a:r>
              <a:br>
                <a:rPr lang="en-US" sz="1400">
                  <a:solidFill>
                    <a:schemeClr val="dk1"/>
                  </a:solidFill>
                  <a:effectLst/>
                  <a:latin typeface="+mn-lt"/>
                  <a:ea typeface="+mn-ea"/>
                  <a:cs typeface="+mn-cs"/>
                </a:rPr>
              </a:br>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Step 4: The statistical significance of the z score is located within a table and the </a:t>
              </a:r>
              <a:r>
                <a:rPr lang="en-US" sz="1400" i="1">
                  <a:solidFill>
                    <a:schemeClr val="dk1"/>
                  </a:solidFill>
                  <a:effectLst/>
                  <a:latin typeface="+mn-lt"/>
                  <a:ea typeface="+mn-ea"/>
                  <a:cs typeface="+mn-cs"/>
                </a:rPr>
                <a:t>p</a:t>
              </a:r>
              <a:r>
                <a:rPr lang="en-US" sz="1400">
                  <a:solidFill>
                    <a:schemeClr val="dk1"/>
                  </a:solidFill>
                  <a:effectLst/>
                  <a:latin typeface="+mn-lt"/>
                  <a:ea typeface="+mn-ea"/>
                  <a:cs typeface="+mn-cs"/>
                </a:rPr>
                <a:t> value is determined. </a:t>
              </a:r>
              <a:br>
                <a:rPr lang="en-US" sz="1400">
                  <a:solidFill>
                    <a:schemeClr val="dk1"/>
                  </a:solidFill>
                  <a:effectLst/>
                  <a:latin typeface="+mn-lt"/>
                  <a:ea typeface="+mn-ea"/>
                  <a:cs typeface="+mn-cs"/>
                </a:rPr>
              </a:br>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Step 5: The difference in proportions is coded as statistically significant if the </a:t>
              </a:r>
              <a:r>
                <a:rPr lang="en-US" sz="1400" i="1">
                  <a:solidFill>
                    <a:schemeClr val="dk1"/>
                  </a:solidFill>
                  <a:effectLst/>
                  <a:latin typeface="+mn-lt"/>
                  <a:ea typeface="+mn-ea"/>
                  <a:cs typeface="+mn-cs"/>
                </a:rPr>
                <a:t>p </a:t>
              </a:r>
              <a:r>
                <a:rPr lang="en-US" sz="1400">
                  <a:solidFill>
                    <a:schemeClr val="dk1"/>
                  </a:solidFill>
                  <a:effectLst/>
                  <a:latin typeface="+mn-lt"/>
                  <a:ea typeface="+mn-ea"/>
                  <a:cs typeface="+mn-cs"/>
                </a:rPr>
                <a:t>value is it is less than or equal to .05.</a:t>
              </a:r>
              <a:br>
                <a:rPr lang="en-US" sz="1400">
                  <a:solidFill>
                    <a:schemeClr val="dk1"/>
                  </a:solidFill>
                  <a:effectLst/>
                  <a:latin typeface="+mn-lt"/>
                  <a:ea typeface="+mn-ea"/>
                  <a:cs typeface="+mn-cs"/>
                </a:rPr>
              </a:br>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Step 6: Information about the statistical significance of the change and the direction of the change are combined to arrive at a score for the summary statement using the following criteria</a:t>
              </a:r>
            </a:p>
            <a:p>
              <a:pPr lvl="0"/>
              <a:r>
                <a:rPr lang="en-US" sz="1400">
                  <a:solidFill>
                    <a:schemeClr val="dk1"/>
                  </a:solidFill>
                  <a:effectLst/>
                  <a:latin typeface="+mn-lt"/>
                  <a:ea typeface="+mn-ea"/>
                  <a:cs typeface="+mn-cs"/>
                </a:rPr>
                <a:t>0 = statistically significant decrease from FFY 2012 to FFY 2013</a:t>
              </a:r>
            </a:p>
            <a:p>
              <a:pPr lvl="0"/>
              <a:r>
                <a:rPr lang="en-US" sz="1400">
                  <a:solidFill>
                    <a:schemeClr val="dk1"/>
                  </a:solidFill>
                  <a:effectLst/>
                  <a:latin typeface="+mn-lt"/>
                  <a:ea typeface="+mn-ea"/>
                  <a:cs typeface="+mn-cs"/>
                </a:rPr>
                <a:t>1 = No statistically significant change</a:t>
              </a:r>
            </a:p>
            <a:p>
              <a:pPr lvl="0"/>
              <a:r>
                <a:rPr lang="en-US" sz="1400">
                  <a:solidFill>
                    <a:schemeClr val="dk1"/>
                  </a:solidFill>
                  <a:effectLst/>
                  <a:latin typeface="+mn-lt"/>
                  <a:ea typeface="+mn-ea"/>
                  <a:cs typeface="+mn-cs"/>
                </a:rPr>
                <a:t>2= statistically significant increase from FFY 2012 to FFY 2013</a:t>
              </a:r>
              <a:br>
                <a:rPr lang="en-US" sz="1400">
                  <a:solidFill>
                    <a:schemeClr val="dk1"/>
                  </a:solidFill>
                  <a:effectLst/>
                  <a:latin typeface="+mn-lt"/>
                  <a:ea typeface="+mn-ea"/>
                  <a:cs typeface="+mn-cs"/>
                </a:rPr>
              </a:br>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Step 7: The score for each summary statement and outcome is summed to create a total score with a minimum of 0 and a maximum of 12.  The score for</a:t>
              </a:r>
              <a:r>
                <a:rPr lang="en-US" sz="1400" baseline="0">
                  <a:solidFill>
                    <a:schemeClr val="dk1"/>
                  </a:solidFill>
                  <a:effectLst/>
                  <a:latin typeface="+mn-lt"/>
                  <a:ea typeface="+mn-ea"/>
                  <a:cs typeface="+mn-cs"/>
                </a:rPr>
                <a:t> the test of proportional difference is assigned a score for the Indicator 3 Overall Performance Change Score based on the following cut points:</a:t>
              </a:r>
              <a:endParaRPr lang="en-US" sz="1400">
                <a:solidFill>
                  <a:schemeClr val="dk1"/>
                </a:solidFill>
                <a:effectLst/>
                <a:latin typeface="+mn-lt"/>
                <a:ea typeface="+mn-ea"/>
                <a:cs typeface="+mn-cs"/>
              </a:endParaRPr>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osep.grads360.org/"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115"/>
  <sheetViews>
    <sheetView showGridLines="0" tabSelected="1" zoomScale="90" zoomScaleNormal="90" zoomScaleSheetLayoutView="50" zoomScalePageLayoutView="39" workbookViewId="0">
      <selection sqref="A1:I1"/>
    </sheetView>
  </sheetViews>
  <sheetFormatPr defaultRowHeight="15" x14ac:dyDescent="0.25"/>
  <cols>
    <col min="1" max="1" width="29.42578125" style="2" customWidth="1"/>
    <col min="2" max="3" width="23" customWidth="1"/>
    <col min="4" max="5" width="23.140625" customWidth="1"/>
    <col min="6" max="7" width="23" customWidth="1"/>
    <col min="8" max="8" width="23.140625" customWidth="1"/>
    <col min="9" max="9" width="0.140625" customWidth="1"/>
    <col min="10" max="10" width="14.7109375" hidden="1" customWidth="1"/>
    <col min="11" max="15" width="9.140625" hidden="1" customWidth="1"/>
    <col min="16" max="16" width="9.140625" customWidth="1"/>
    <col min="18" max="18" width="0" hidden="1" customWidth="1"/>
  </cols>
  <sheetData>
    <row r="1" spans="1:15" ht="37.5" customHeight="1" x14ac:dyDescent="0.25">
      <c r="A1" s="302" t="s">
        <v>9</v>
      </c>
      <c r="B1" s="303"/>
      <c r="C1" s="303"/>
      <c r="D1" s="303"/>
      <c r="E1" s="303"/>
      <c r="F1" s="303"/>
      <c r="G1" s="303"/>
      <c r="H1" s="303"/>
      <c r="I1" s="304"/>
    </row>
    <row r="2" spans="1:15" s="7" customFormat="1" ht="31.5" customHeight="1" thickBot="1" x14ac:dyDescent="0.3">
      <c r="A2" s="305" t="s">
        <v>63</v>
      </c>
      <c r="B2" s="306"/>
      <c r="C2" s="306"/>
      <c r="D2" s="306"/>
      <c r="E2" s="306"/>
      <c r="F2" s="306"/>
      <c r="G2" s="306"/>
      <c r="H2" s="306"/>
      <c r="I2" s="307"/>
    </row>
    <row r="3" spans="1:15" ht="34.5" customHeight="1" thickBot="1" x14ac:dyDescent="0.3">
      <c r="A3" s="308" t="s">
        <v>111</v>
      </c>
      <c r="B3" s="309"/>
      <c r="C3" s="309"/>
      <c r="D3" s="309"/>
      <c r="E3" s="309"/>
      <c r="F3" s="309"/>
      <c r="G3" s="309"/>
      <c r="H3" s="309"/>
      <c r="I3" s="310"/>
    </row>
    <row r="4" spans="1:15" ht="60" customHeight="1" thickBot="1" x14ac:dyDescent="0.3">
      <c r="A4" s="311" t="s">
        <v>208</v>
      </c>
      <c r="B4" s="312"/>
      <c r="C4" s="312"/>
      <c r="D4" s="312"/>
      <c r="E4" s="312"/>
      <c r="F4" s="312"/>
      <c r="G4" s="312"/>
      <c r="H4" s="312"/>
      <c r="I4" s="313"/>
    </row>
    <row r="5" spans="1:15" s="10" customFormat="1" ht="60" customHeight="1" thickBot="1" x14ac:dyDescent="0.45">
      <c r="A5" s="317" t="s">
        <v>198</v>
      </c>
      <c r="B5" s="318"/>
      <c r="C5" s="318"/>
      <c r="D5" s="233">
        <f>'Data Anomalies'!$D$48</f>
        <v>2426</v>
      </c>
      <c r="E5" s="318" t="s">
        <v>199</v>
      </c>
      <c r="F5" s="318"/>
      <c r="G5" s="318"/>
      <c r="H5" s="49">
        <v>4452</v>
      </c>
      <c r="I5" s="16"/>
    </row>
    <row r="6" spans="1:15" ht="60" customHeight="1" thickBot="1" x14ac:dyDescent="0.3">
      <c r="A6" s="317" t="s">
        <v>219</v>
      </c>
      <c r="B6" s="318"/>
      <c r="C6" s="318"/>
      <c r="D6" s="319">
        <f>D5/H5</f>
        <v>0.54492362982929021</v>
      </c>
      <c r="E6" s="319"/>
      <c r="F6" s="320"/>
      <c r="G6" s="164"/>
      <c r="H6" s="165"/>
      <c r="I6" s="20"/>
    </row>
    <row r="7" spans="1:15" s="10" customFormat="1" ht="60" customHeight="1" thickBot="1" x14ac:dyDescent="0.3">
      <c r="A7" s="279" t="s">
        <v>222</v>
      </c>
      <c r="B7" s="280"/>
      <c r="C7" s="280"/>
      <c r="D7" s="321">
        <f>IF(D6="N/A","N/A",IF(D6="Data Suppressed","*",IF(D6&lt;0%,"ERROR",IF(D6&gt;100%,"ERROR",IF(D6&gt;=70%,2,IF(D6&lt;=33%,0,IF(D6&gt;=34%-69%,1,)))))))</f>
        <v>1</v>
      </c>
      <c r="E7" s="321"/>
      <c r="F7" s="322"/>
      <c r="G7" s="164"/>
      <c r="H7" s="165"/>
      <c r="I7" s="20"/>
    </row>
    <row r="8" spans="1:15" ht="62.25" customHeight="1" thickBot="1" x14ac:dyDescent="0.3">
      <c r="A8" s="314" t="s">
        <v>278</v>
      </c>
      <c r="B8" s="315"/>
      <c r="C8" s="315"/>
      <c r="D8" s="315"/>
      <c r="E8" s="315"/>
      <c r="F8" s="315"/>
      <c r="G8" s="315"/>
      <c r="H8" s="315"/>
      <c r="I8" s="316"/>
    </row>
    <row r="9" spans="1:15" ht="36" hidden="1" customHeight="1" thickBot="1" x14ac:dyDescent="0.3">
      <c r="A9" s="160" t="s">
        <v>74</v>
      </c>
      <c r="B9" s="161" t="s">
        <v>75</v>
      </c>
      <c r="C9" s="162" t="s">
        <v>76</v>
      </c>
      <c r="D9" s="163" t="s">
        <v>77</v>
      </c>
      <c r="E9" s="162" t="s">
        <v>78</v>
      </c>
      <c r="F9" s="162" t="s">
        <v>79</v>
      </c>
      <c r="G9" s="157"/>
      <c r="H9" s="158"/>
      <c r="I9" s="159"/>
    </row>
    <row r="10" spans="1:15" s="10" customFormat="1" ht="36" hidden="1" customHeight="1" thickBot="1" x14ac:dyDescent="0.3">
      <c r="A10" s="13" t="s">
        <v>81</v>
      </c>
      <c r="B10" s="50">
        <v>4.0000000000000001E-3</v>
      </c>
      <c r="C10" s="51">
        <v>0.2397</v>
      </c>
      <c r="D10" s="51">
        <v>4.1700000000000001E-2</v>
      </c>
      <c r="E10" s="51">
        <v>0.1706</v>
      </c>
      <c r="F10" s="51">
        <v>0.54330000000000001</v>
      </c>
      <c r="G10" s="157"/>
      <c r="H10" s="158"/>
      <c r="I10" s="159"/>
      <c r="J10" s="10">
        <f>IF(B10="N/A","N/A",IF(B10="Data Suppressed","*",IF(B10&lt;0%,"ERROR",IF(B10&gt;100%,"ERROR",IF(B10=0%,0,IF(B10&gt;5%,0,IF(B10&gt;=1%-4%,1,)))))))</f>
        <v>1</v>
      </c>
      <c r="K10" s="10">
        <f>IF(C10="N/A","N/A",IF(C10="Data Suppressed","*",IF(C10&lt;0%,"ERROR",IF(C10&gt;100%,"ERROR",IF(C10&lt;5%,0,IF(C10&gt;50%,0,IF(B10&gt;=4%-49%,1,)))))))</f>
        <v>1</v>
      </c>
      <c r="L10" s="10">
        <f>IF(D10="N/A","N/A",IF(D10="Data Suppressed","*",IF(D10&lt;0%,"ERROR",IF(D10&gt;100%,"ERROR",IF(D10&lt;5%,0,IF(D10&gt;50%,0,IF(D10&gt;=4%-49%,1,)))))))</f>
        <v>0</v>
      </c>
      <c r="M10" s="10">
        <f>IF(E10="N/A","N/A",IF(E10="Data Suppressed","*",IF(E10&lt;0%,"ERROR",IF(E10&gt;100%,"ERROR",IF(E10&lt;5%,0,IF(E10&gt;50%,0,IF(E10&gt;=4%-49%,1,)))))))</f>
        <v>1</v>
      </c>
      <c r="N10" s="10">
        <f>IF(F10="N/A","N/A",IF(F10="Data Suppressed","*",IF(F10&lt;0%,"ERROR",IF(F10&gt;100%,"ERROR",IF(F10&lt;5%,0,IF(F10&gt;65%,0,IF(F10&gt;=4%-64%,1,)))))))</f>
        <v>1</v>
      </c>
      <c r="O10" s="10">
        <f>SUM(J10:N10)</f>
        <v>4</v>
      </c>
    </row>
    <row r="11" spans="1:15" s="10" customFormat="1" ht="9.75" hidden="1" customHeight="1" thickBot="1" x14ac:dyDescent="0.3">
      <c r="A11" s="323"/>
      <c r="B11" s="324"/>
      <c r="C11" s="324"/>
      <c r="D11" s="324"/>
      <c r="E11" s="324"/>
      <c r="F11" s="325"/>
      <c r="G11" s="157"/>
      <c r="H11" s="158"/>
      <c r="I11" s="159"/>
    </row>
    <row r="12" spans="1:15" s="10" customFormat="1" ht="36" hidden="1" customHeight="1" thickBot="1" x14ac:dyDescent="0.3">
      <c r="A12" s="13" t="s">
        <v>80</v>
      </c>
      <c r="B12" s="12" t="s">
        <v>75</v>
      </c>
      <c r="C12" s="11" t="s">
        <v>76</v>
      </c>
      <c r="D12" s="15" t="s">
        <v>77</v>
      </c>
      <c r="E12" s="11" t="s">
        <v>78</v>
      </c>
      <c r="F12" s="11" t="s">
        <v>79</v>
      </c>
      <c r="G12" s="157"/>
      <c r="H12" s="158"/>
      <c r="I12" s="159"/>
    </row>
    <row r="13" spans="1:15" s="10" customFormat="1" ht="36" hidden="1" customHeight="1" thickBot="1" x14ac:dyDescent="0.3">
      <c r="A13" s="13" t="s">
        <v>0</v>
      </c>
      <c r="B13" s="50">
        <v>3.0000000000000001E-3</v>
      </c>
      <c r="C13" s="51">
        <v>0.33779999999999999</v>
      </c>
      <c r="D13" s="51">
        <v>0.1143</v>
      </c>
      <c r="E13" s="51">
        <v>0.23089999999999999</v>
      </c>
      <c r="F13" s="51">
        <v>0.31280000000000002</v>
      </c>
      <c r="G13" s="157"/>
      <c r="H13" s="158"/>
      <c r="I13" s="159"/>
      <c r="J13" s="10">
        <f>IF(B13="N/A","N/A",IF(B13="Data Suppressed","*",IF(B13&lt;0%,"ERROR",IF(B13&gt;100%,"ERROR",IF(B13=0%,0,IF(B13&gt;5%,0,IF(B13&gt;=1%-4%,1,)))))))</f>
        <v>1</v>
      </c>
      <c r="K13" s="10">
        <f>IF(C13="N/A","N/A",IF(C13="Data Suppressed","*",IF(C13&lt;0%,"ERROR",IF(C13&gt;100%,"ERROR",IF(C13&lt;5%,0,IF(C13&gt;50%,0,IF(B13&gt;=4%-49%,1,)))))))</f>
        <v>1</v>
      </c>
      <c r="L13" s="10">
        <f>IF(D13="N/A","N/A",IF(D13="Data Suppressed","*",IF(D13&lt;0%,"ERROR",IF(D13&gt;100%,"ERROR",IF(D13&lt;5%,0,IF(D13&gt;50%,0,IF(D13&gt;=4%-49%,1,)))))))</f>
        <v>1</v>
      </c>
      <c r="M13" s="10">
        <f>IF(E13="N/A","N/A",IF(E13="Data Suppressed","*",IF(E13&lt;0%,"ERROR",IF(E13&gt;100%,"ERROR",IF(E13&lt;5%,0,IF(E13&gt;50%,0,IF(E13&gt;=4%-49%,1,)))))))</f>
        <v>1</v>
      </c>
      <c r="N13" s="10">
        <f>IF(F13="N/A","N/A",IF(F13="Data Suppressed","*",IF(F13&lt;0%,"ERROR",IF(F13&gt;100%,"ERROR",IF(F13&lt;5%,0,IF(F13&gt;65%,0,IF(F13&gt;=4%-64%,1,)))))))</f>
        <v>1</v>
      </c>
      <c r="O13" s="10">
        <f>SUM(J13:N13)</f>
        <v>5</v>
      </c>
    </row>
    <row r="14" spans="1:15" s="10" customFormat="1" ht="9.75" hidden="1" customHeight="1" thickBot="1" x14ac:dyDescent="0.3">
      <c r="A14" s="323"/>
      <c r="B14" s="324"/>
      <c r="C14" s="324"/>
      <c r="D14" s="324"/>
      <c r="E14" s="324"/>
      <c r="F14" s="325"/>
      <c r="G14" s="157"/>
      <c r="H14" s="158"/>
      <c r="I14" s="159"/>
    </row>
    <row r="15" spans="1:15" s="10" customFormat="1" ht="36" hidden="1" customHeight="1" thickBot="1" x14ac:dyDescent="0.3">
      <c r="A15" s="13" t="s">
        <v>82</v>
      </c>
      <c r="B15" s="12" t="s">
        <v>75</v>
      </c>
      <c r="C15" s="11" t="s">
        <v>76</v>
      </c>
      <c r="D15" s="15" t="s">
        <v>77</v>
      </c>
      <c r="E15" s="11" t="s">
        <v>78</v>
      </c>
      <c r="F15" s="11" t="s">
        <v>79</v>
      </c>
      <c r="G15" s="157"/>
      <c r="H15" s="158"/>
      <c r="I15" s="159"/>
    </row>
    <row r="16" spans="1:15" s="10" customFormat="1" ht="36" hidden="1" customHeight="1" thickBot="1" x14ac:dyDescent="0.3">
      <c r="A16" s="13" t="s">
        <v>81</v>
      </c>
      <c r="B16" s="50">
        <v>1.6999999999999999E-3</v>
      </c>
      <c r="C16" s="51">
        <v>0.2089</v>
      </c>
      <c r="D16" s="51">
        <v>6.1499999999999999E-2</v>
      </c>
      <c r="E16" s="51">
        <v>0.24149999999999999</v>
      </c>
      <c r="F16" s="51">
        <v>0.48609999999999998</v>
      </c>
      <c r="G16" s="157"/>
      <c r="H16" s="158"/>
      <c r="I16" s="159"/>
      <c r="J16" s="10">
        <f>IF(B16="N/A","N/A",IF(B16="Data Suppressed","*",IF(B16&lt;0%,"ERROR",IF(B16&gt;100%,"ERROR",IF(B16=0%,0,IF(B16&gt;5%,0,IF(B16&gt;=1%-4%,1,)))))))</f>
        <v>1</v>
      </c>
      <c r="K16" s="10">
        <f>IF(C16="N/A","N/A",IF(C16="Data Suppressed","*",IF(C16&lt;0%,"ERROR",IF(C16&gt;100%,"ERROR",IF(C16&lt;5%,0,IF(C16&gt;50%,0,IF(B16&gt;=4%-49%,1,)))))))</f>
        <v>1</v>
      </c>
      <c r="L16" s="10">
        <f>IF(D16="N/A","N/A",IF(D16="Data Suppressed","*",IF(D16&lt;0%,"ERROR",IF(D16&gt;100%,"ERROR",IF(D16&lt;5%,0,IF(D16&gt;50%,0,IF(D16&gt;=4%-49%,1,)))))))</f>
        <v>1</v>
      </c>
      <c r="M16" s="10">
        <f>IF(E16="N/A","N/A",IF(E16="Data Suppressed","*",IF(E16&lt;0%,"ERROR",IF(E16&gt;100%,"ERROR",IF(E16&lt;5%,0,IF(E16&gt;50%,0,IF(E16&gt;=4%-49%,1,)))))))</f>
        <v>1</v>
      </c>
      <c r="N16" s="10">
        <f>IF(F16="N/A","N/A",IF(F16="Data Suppressed","*",IF(F16&lt;0%,"ERROR",IF(F16&gt;100%,"ERROR",IF(F16&lt;5%,0,IF(F16&gt;65%,0,IF(F16&gt;=4%-64%,1,)))))))</f>
        <v>1</v>
      </c>
      <c r="O16" s="10">
        <f>SUM(J16:N16)</f>
        <v>5</v>
      </c>
    </row>
    <row r="17" spans="1:18" s="10" customFormat="1" ht="58.5" customHeight="1" thickBot="1" x14ac:dyDescent="0.3">
      <c r="A17" s="279" t="s">
        <v>223</v>
      </c>
      <c r="B17" s="280"/>
      <c r="C17" s="281"/>
      <c r="D17" s="275">
        <f>'Data Anomalies'!$D$68</f>
        <v>2</v>
      </c>
      <c r="E17" s="276"/>
      <c r="F17" s="277"/>
      <c r="G17" s="166"/>
      <c r="H17" s="167"/>
      <c r="I17" s="159"/>
      <c r="O17" s="10">
        <f>SUM(O10:O16)</f>
        <v>14</v>
      </c>
    </row>
    <row r="18" spans="1:18" ht="60" customHeight="1" thickBot="1" x14ac:dyDescent="0.3">
      <c r="A18" s="287" t="s">
        <v>221</v>
      </c>
      <c r="B18" s="288"/>
      <c r="C18" s="288"/>
      <c r="D18" s="276">
        <f>SUM(D7,D17)</f>
        <v>3</v>
      </c>
      <c r="E18" s="276"/>
      <c r="F18" s="277"/>
      <c r="G18" s="168"/>
      <c r="H18" s="169"/>
      <c r="I18" s="19"/>
      <c r="J18" s="17"/>
    </row>
    <row r="19" spans="1:18" ht="34.5" customHeight="1" thickBot="1" x14ac:dyDescent="0.5">
      <c r="A19" s="293" t="s">
        <v>200</v>
      </c>
      <c r="B19" s="294"/>
      <c r="C19" s="294"/>
      <c r="D19" s="294"/>
      <c r="E19" s="294"/>
      <c r="F19" s="294"/>
      <c r="G19" s="294"/>
      <c r="H19" s="294"/>
      <c r="I19" s="295"/>
    </row>
    <row r="20" spans="1:18" ht="67.5" customHeight="1" thickBot="1" x14ac:dyDescent="0.3">
      <c r="A20" s="282" t="s">
        <v>279</v>
      </c>
      <c r="B20" s="283"/>
      <c r="C20" s="283"/>
      <c r="D20" s="283"/>
      <c r="E20" s="283"/>
      <c r="F20" s="283"/>
      <c r="G20" s="283"/>
      <c r="H20" s="283"/>
      <c r="I20" s="284"/>
    </row>
    <row r="21" spans="1:18" s="10" customFormat="1" ht="29.25" hidden="1" customHeight="1" thickBot="1" x14ac:dyDescent="0.3">
      <c r="A21" s="299" t="s">
        <v>112</v>
      </c>
      <c r="B21" s="300"/>
      <c r="C21" s="300"/>
      <c r="D21" s="300"/>
      <c r="E21" s="300"/>
      <c r="F21" s="300"/>
      <c r="G21" s="300"/>
      <c r="H21" s="300"/>
      <c r="I21" s="57"/>
    </row>
    <row r="22" spans="1:18" ht="60" hidden="1" customHeight="1" thickBot="1" x14ac:dyDescent="0.45">
      <c r="A22" s="22" t="s">
        <v>65</v>
      </c>
      <c r="B22" s="21" t="s">
        <v>64</v>
      </c>
      <c r="C22" s="14" t="s">
        <v>67</v>
      </c>
      <c r="D22" s="14" t="s">
        <v>68</v>
      </c>
      <c r="E22" s="14" t="s">
        <v>66</v>
      </c>
      <c r="F22" s="14" t="s">
        <v>69</v>
      </c>
      <c r="G22" s="14" t="s">
        <v>83</v>
      </c>
      <c r="H22" s="291"/>
      <c r="I22" s="292"/>
    </row>
    <row r="23" spans="1:18" ht="60" hidden="1" customHeight="1" thickBot="1" x14ac:dyDescent="0.45">
      <c r="A23" s="13" t="s">
        <v>0</v>
      </c>
      <c r="B23" s="55">
        <v>0.46500000000000002</v>
      </c>
      <c r="C23" s="54">
        <v>0.71399999999999997</v>
      </c>
      <c r="D23" s="54">
        <v>0.503</v>
      </c>
      <c r="E23" s="54">
        <v>0.54400000000000004</v>
      </c>
      <c r="F23" s="54">
        <v>0.59</v>
      </c>
      <c r="G23" s="54">
        <v>0.72799999999999998</v>
      </c>
      <c r="H23" s="170"/>
      <c r="I23" s="171"/>
      <c r="J23" s="10">
        <f>IF(B23="N/A","N/A",IF(B23="Data Suppressed","*",IF(B23&lt;0%,"ERROR",IF(B23&gt;100%,"ERROR",IF(B23&lt;47%,0,IF(B23&gt;83%,2,IF(B23&gt;=47%-83%,1,)))))))</f>
        <v>0</v>
      </c>
      <c r="K23">
        <f>IF(C23="N/A","N/A",IF(C23="Data Suppressed","*",IF(C23&lt;0%,"ERROR",IF(C23&gt;100%,"ERROR",IF(C23&lt;42%,0,IF(C23&gt;=71%,2,IF(C23&gt;=42%-70%,1,)))))))</f>
        <v>2</v>
      </c>
      <c r="L23">
        <f>IF(D23="N/A","N/A",IF(D23="Data Suppressed","*",IF(D23&lt;0%,"ERROR",IF(D23&gt;100%,"ERROR",IF(D23&lt;52%,0,IF(D23&gt;=85%,2,IF(C23&gt;=52%-84%,1,)))))))</f>
        <v>0</v>
      </c>
      <c r="M23">
        <f>IF(E23="N/A","N/A",IF(E23="Data Suppressed","*",IF(E23&lt;0%,"ERROR",IF(E23&gt;100%,"ERROR",IF(E23&lt;35%,0,IF(E23&gt;=66%,2,IF(E23&gt;=35%-65%,1,)))))))</f>
        <v>1</v>
      </c>
      <c r="N23">
        <f>IF(F23="N/A","N/A",IF(F23="Data Suppressed","*",IF(F23&lt;0%,"ERROR",IF(F23&gt;100%,"ERROR",IF(F23&lt;58%,0,IF(F23&gt;=86%,2,IF(F23&gt;=58%-85%,1,)))))))</f>
        <v>1</v>
      </c>
      <c r="O23">
        <f>IF(G23="N/A","N/A",IF(G23="Data Suppressed","*",IF(G23&lt;0%,"ERROR",IF(G23&gt;100%,"ERROR",IF(G23&lt;42%,0,IF(C23&gt;=73%,2,IF(C23&gt;=42%-72%,1,)))))))</f>
        <v>1</v>
      </c>
    </row>
    <row r="24" spans="1:18" ht="60" customHeight="1" thickBot="1" x14ac:dyDescent="0.3">
      <c r="A24" s="279" t="s">
        <v>224</v>
      </c>
      <c r="B24" s="280"/>
      <c r="C24" s="280"/>
      <c r="D24" s="278">
        <f>'Data Comparison'!$D$20</f>
        <v>1</v>
      </c>
      <c r="E24" s="278"/>
      <c r="F24" s="278"/>
      <c r="G24" s="285"/>
      <c r="H24" s="286"/>
      <c r="I24" s="18"/>
      <c r="O24">
        <f>SUM(J23:O23)</f>
        <v>5</v>
      </c>
    </row>
    <row r="25" spans="1:18" s="8" customFormat="1" ht="60" customHeight="1" thickBot="1" x14ac:dyDescent="0.3">
      <c r="A25" s="311" t="s">
        <v>210</v>
      </c>
      <c r="B25" s="312"/>
      <c r="C25" s="312"/>
      <c r="D25" s="312"/>
      <c r="E25" s="312"/>
      <c r="F25" s="312"/>
      <c r="G25" s="312"/>
      <c r="H25" s="312"/>
      <c r="I25" s="313"/>
    </row>
    <row r="26" spans="1:18" s="9" customFormat="1" ht="27.75" customHeight="1" thickBot="1" x14ac:dyDescent="0.3">
      <c r="A26" s="326" t="s">
        <v>112</v>
      </c>
      <c r="B26" s="326"/>
      <c r="C26" s="326"/>
      <c r="D26" s="326"/>
      <c r="E26" s="326"/>
      <c r="F26" s="326"/>
      <c r="G26" s="327"/>
      <c r="H26" s="180"/>
      <c r="I26" s="181"/>
    </row>
    <row r="27" spans="1:18" s="9" customFormat="1" ht="60" customHeight="1" thickBot="1" x14ac:dyDescent="0.35">
      <c r="A27" s="134" t="s">
        <v>65</v>
      </c>
      <c r="B27" s="238" t="s">
        <v>240</v>
      </c>
      <c r="C27" s="239" t="s">
        <v>241</v>
      </c>
      <c r="D27" s="239" t="s">
        <v>242</v>
      </c>
      <c r="E27" s="239" t="s">
        <v>243</v>
      </c>
      <c r="F27" s="240" t="s">
        <v>244</v>
      </c>
      <c r="G27" s="240" t="s">
        <v>244</v>
      </c>
      <c r="H27" s="182"/>
      <c r="I27" s="183"/>
    </row>
    <row r="28" spans="1:18" s="9" customFormat="1" ht="51.75" customHeight="1" thickBot="1" x14ac:dyDescent="0.3">
      <c r="A28" s="13" t="s">
        <v>0</v>
      </c>
      <c r="B28" s="235">
        <f>'Data Comparison'!B17</f>
        <v>0.72770000000000001</v>
      </c>
      <c r="C28" s="236">
        <f>'Data Comparison'!C17</f>
        <v>0.59599999999999997</v>
      </c>
      <c r="D28" s="236">
        <f>'Data Comparison'!D17</f>
        <v>0.82750000000000001</v>
      </c>
      <c r="E28" s="236">
        <f>'Data Comparison'!E17</f>
        <v>0.50949999999999995</v>
      </c>
      <c r="F28" s="236">
        <f>'Data Comparison'!F17</f>
        <v>0.85060000000000002</v>
      </c>
      <c r="G28" s="152">
        <f>'Data Comparison'!G17</f>
        <v>0.72050000000000003</v>
      </c>
      <c r="H28" s="182"/>
      <c r="I28" s="183"/>
    </row>
    <row r="29" spans="1:18" s="9" customFormat="1" ht="28.5" customHeight="1" thickBot="1" x14ac:dyDescent="0.3">
      <c r="A29" s="296" t="s">
        <v>113</v>
      </c>
      <c r="B29" s="297"/>
      <c r="C29" s="297"/>
      <c r="D29" s="297"/>
      <c r="E29" s="297"/>
      <c r="F29" s="297"/>
      <c r="G29" s="298"/>
      <c r="H29" s="182"/>
      <c r="I29" s="183"/>
    </row>
    <row r="30" spans="1:18" s="9" customFormat="1" ht="60" customHeight="1" thickBot="1" x14ac:dyDescent="0.35">
      <c r="A30" s="58" t="s">
        <v>65</v>
      </c>
      <c r="B30" s="238" t="s">
        <v>240</v>
      </c>
      <c r="C30" s="239" t="s">
        <v>241</v>
      </c>
      <c r="D30" s="239" t="s">
        <v>242</v>
      </c>
      <c r="E30" s="239" t="s">
        <v>243</v>
      </c>
      <c r="F30" s="240" t="s">
        <v>244</v>
      </c>
      <c r="G30" s="240" t="s">
        <v>244</v>
      </c>
      <c r="H30" s="182"/>
      <c r="I30" s="183"/>
    </row>
    <row r="31" spans="1:18" s="9" customFormat="1" ht="60" customHeight="1" thickBot="1" x14ac:dyDescent="0.3">
      <c r="A31" s="13" t="s">
        <v>0</v>
      </c>
      <c r="B31" s="55">
        <v>0.75700000000000001</v>
      </c>
      <c r="C31" s="54">
        <v>0.59399999999999997</v>
      </c>
      <c r="D31" s="54">
        <v>0.82799999999999996</v>
      </c>
      <c r="E31" s="54">
        <v>0.52400000000000002</v>
      </c>
      <c r="F31" s="54">
        <v>0.86</v>
      </c>
      <c r="G31" s="51">
        <v>0.69899999999999995</v>
      </c>
      <c r="H31" s="182"/>
      <c r="I31" s="183"/>
    </row>
    <row r="32" spans="1:18" s="9" customFormat="1" ht="60" customHeight="1" thickBot="1" x14ac:dyDescent="0.45">
      <c r="A32" s="279" t="s">
        <v>225</v>
      </c>
      <c r="B32" s="280"/>
      <c r="C32" s="280"/>
      <c r="D32" s="289">
        <f>IF(D18&lt;=1,"NA - Low Quality Data",IF(L32=0,0,IF(L32=1,1,IF(L32=2,2))))</f>
        <v>1</v>
      </c>
      <c r="E32" s="289"/>
      <c r="F32" s="290"/>
      <c r="G32" s="185"/>
      <c r="H32" s="355"/>
      <c r="I32" s="356"/>
      <c r="L32" s="192">
        <f>'Performance Change Over Time'!$E$426</f>
        <v>1</v>
      </c>
      <c r="R32" s="9">
        <f>'Performance Change Over Time'!$N$138</f>
        <v>8</v>
      </c>
    </row>
    <row r="33" spans="1:17" ht="60" customHeight="1" thickBot="1" x14ac:dyDescent="0.3">
      <c r="A33" s="287" t="s">
        <v>220</v>
      </c>
      <c r="B33" s="288"/>
      <c r="C33" s="288"/>
      <c r="D33" s="278">
        <f>IF(D18&lt;=1,"0 - Low Quality Data",IF(D18&gt;1,L33,))</f>
        <v>2</v>
      </c>
      <c r="E33" s="278"/>
      <c r="F33" s="278"/>
      <c r="G33" s="168"/>
      <c r="H33" s="169"/>
      <c r="I33" s="184"/>
      <c r="J33" s="10"/>
      <c r="L33">
        <f>SUM(D24,D32)</f>
        <v>2</v>
      </c>
    </row>
    <row r="34" spans="1:17" s="10" customFormat="1" ht="34.5" customHeight="1" thickBot="1" x14ac:dyDescent="0.55000000000000004">
      <c r="A34" s="349" t="s">
        <v>110</v>
      </c>
      <c r="B34" s="350"/>
      <c r="C34" s="350"/>
      <c r="D34" s="350"/>
      <c r="E34" s="350"/>
      <c r="F34" s="350"/>
      <c r="G34" s="350"/>
      <c r="H34" s="350"/>
      <c r="I34" s="351"/>
    </row>
    <row r="35" spans="1:17" ht="67.5" customHeight="1" thickBot="1" x14ac:dyDescent="0.3">
      <c r="A35" s="301" t="s">
        <v>70</v>
      </c>
      <c r="B35" s="335"/>
      <c r="C35" s="335"/>
      <c r="D35" s="301" t="s">
        <v>226</v>
      </c>
      <c r="E35" s="301"/>
      <c r="F35" s="301"/>
      <c r="G35" s="301" t="s">
        <v>71</v>
      </c>
      <c r="H35" s="301"/>
      <c r="I35" s="301"/>
    </row>
    <row r="36" spans="1:17" ht="67.5" customHeight="1" thickBot="1" x14ac:dyDescent="0.3">
      <c r="A36" s="331">
        <f>(COUNT(D18,D33)*4)</f>
        <v>8</v>
      </c>
      <c r="B36" s="329"/>
      <c r="C36" s="330"/>
      <c r="D36" s="328">
        <f>SUM(D18,D33)</f>
        <v>5</v>
      </c>
      <c r="E36" s="329"/>
      <c r="F36" s="330"/>
      <c r="G36" s="331">
        <f>D36/A36*100</f>
        <v>62.5</v>
      </c>
      <c r="H36" s="329"/>
      <c r="I36" s="330"/>
    </row>
    <row r="37" spans="1:17" ht="66.75" customHeight="1" thickBot="1" x14ac:dyDescent="0.3">
      <c r="A37" s="332" t="s">
        <v>72</v>
      </c>
      <c r="B37" s="333"/>
      <c r="C37" s="334"/>
      <c r="D37" s="344" t="s">
        <v>227</v>
      </c>
      <c r="E37" s="345"/>
      <c r="F37" s="346"/>
      <c r="G37" s="347" t="s">
        <v>73</v>
      </c>
      <c r="H37" s="347"/>
      <c r="I37" s="348"/>
    </row>
    <row r="38" spans="1:17" ht="67.5" customHeight="1" thickBot="1" x14ac:dyDescent="0.3">
      <c r="A38" s="331">
        <f>'Compliance Matrix Part C'!$A$17</f>
        <v>14</v>
      </c>
      <c r="B38" s="329"/>
      <c r="C38" s="330"/>
      <c r="D38" s="331">
        <f>'Compliance Matrix Part C'!$B$17</f>
        <v>14</v>
      </c>
      <c r="E38" s="329"/>
      <c r="F38" s="330"/>
      <c r="G38" s="352">
        <f>'Compliance Matrix Part C'!$C$17</f>
        <v>100</v>
      </c>
      <c r="H38" s="353"/>
      <c r="I38" s="354"/>
    </row>
    <row r="39" spans="1:17" s="8" customFormat="1" ht="86.25" customHeight="1" thickBot="1" x14ac:dyDescent="0.3">
      <c r="A39" s="339" t="s">
        <v>228</v>
      </c>
      <c r="B39" s="340"/>
      <c r="C39" s="340"/>
      <c r="D39" s="340"/>
      <c r="E39" s="340"/>
      <c r="F39" s="340"/>
      <c r="G39" s="340"/>
      <c r="H39" s="340"/>
      <c r="I39" s="341"/>
    </row>
    <row r="40" spans="1:17" ht="86.25" customHeight="1" thickBot="1" x14ac:dyDescent="0.3">
      <c r="A40" s="342">
        <f>G36*0.5/100+G38*0.5/100</f>
        <v>0.8125</v>
      </c>
      <c r="B40" s="342"/>
      <c r="C40" s="342"/>
      <c r="D40" s="342"/>
      <c r="E40" s="343" t="str">
        <f>IF(A40&gt;79.49%,"MEETS REQUIREMENTS (green)",IF(A40&gt;59.49%,"NEEDS ASSISTANCE (yellow)","NEEDS INTERVENTION (red)"))</f>
        <v>MEETS REQUIREMENTS (green)</v>
      </c>
      <c r="F40" s="343"/>
      <c r="G40" s="343"/>
      <c r="H40" s="343"/>
      <c r="I40" s="343"/>
    </row>
    <row r="41" spans="1:17" s="7" customFormat="1" ht="35.25" customHeight="1" x14ac:dyDescent="0.25">
      <c r="A41" s="336" t="s">
        <v>229</v>
      </c>
      <c r="B41" s="336"/>
      <c r="C41" s="336"/>
      <c r="D41" s="336"/>
      <c r="E41" s="336"/>
      <c r="F41" s="336"/>
      <c r="G41" s="336"/>
      <c r="H41" s="336"/>
      <c r="I41" s="230"/>
    </row>
    <row r="42" spans="1:17" s="195" customFormat="1" ht="36" customHeight="1" x14ac:dyDescent="0.25">
      <c r="A42" s="273" t="s">
        <v>230</v>
      </c>
      <c r="B42" s="273"/>
      <c r="C42" s="273"/>
      <c r="D42" s="273"/>
      <c r="E42" s="273"/>
      <c r="F42" s="273"/>
      <c r="G42" s="273"/>
      <c r="H42" s="273"/>
      <c r="I42" s="194"/>
    </row>
    <row r="43" spans="1:17" s="195" customFormat="1" ht="36" customHeight="1" x14ac:dyDescent="0.25">
      <c r="A43" s="273" t="s">
        <v>231</v>
      </c>
      <c r="B43" s="273"/>
      <c r="C43" s="273"/>
      <c r="D43" s="273"/>
      <c r="E43" s="273"/>
      <c r="F43" s="273"/>
      <c r="G43" s="273"/>
      <c r="H43" s="273"/>
      <c r="I43" s="194"/>
    </row>
    <row r="44" spans="1:17" s="197" customFormat="1" ht="36" customHeight="1" x14ac:dyDescent="0.25">
      <c r="A44" s="274" t="s">
        <v>232</v>
      </c>
      <c r="B44" s="274"/>
      <c r="C44" s="274"/>
      <c r="D44" s="274"/>
      <c r="E44" s="274"/>
      <c r="F44" s="274"/>
      <c r="G44" s="274"/>
      <c r="H44" s="274"/>
      <c r="I44" s="196"/>
      <c r="J44" s="196"/>
      <c r="K44" s="196"/>
      <c r="L44" s="196"/>
      <c r="M44" s="196"/>
      <c r="N44" s="196"/>
      <c r="O44" s="196"/>
      <c r="P44" s="196"/>
      <c r="Q44" s="196"/>
    </row>
    <row r="45" spans="1:17" s="199" customFormat="1" ht="36" customHeight="1" x14ac:dyDescent="0.25">
      <c r="A45" s="274" t="s">
        <v>233</v>
      </c>
      <c r="B45" s="274"/>
      <c r="C45" s="274"/>
      <c r="D45" s="274"/>
      <c r="E45" s="274"/>
      <c r="F45" s="274"/>
      <c r="G45" s="274"/>
      <c r="H45" s="274"/>
      <c r="I45" s="198"/>
      <c r="J45" s="198"/>
      <c r="K45" s="198"/>
      <c r="L45" s="198"/>
      <c r="M45" s="198"/>
      <c r="N45" s="198"/>
      <c r="O45" s="198"/>
      <c r="P45" s="198"/>
      <c r="Q45" s="198"/>
    </row>
    <row r="46" spans="1:17" s="53" customFormat="1" ht="36" customHeight="1" x14ac:dyDescent="0.25">
      <c r="A46" s="337" t="s">
        <v>234</v>
      </c>
      <c r="B46" s="337"/>
      <c r="C46" s="337"/>
      <c r="D46" s="337"/>
      <c r="E46" s="337"/>
      <c r="F46" s="337"/>
      <c r="G46" s="337"/>
      <c r="H46" s="337"/>
    </row>
    <row r="47" spans="1:17" s="7" customFormat="1" ht="78.75" customHeight="1" x14ac:dyDescent="0.25">
      <c r="A47" s="338" t="s">
        <v>288</v>
      </c>
      <c r="B47" s="338"/>
      <c r="C47" s="338"/>
      <c r="D47" s="338"/>
      <c r="E47" s="338"/>
      <c r="F47" s="338"/>
      <c r="G47" s="338"/>
      <c r="H47" s="338"/>
    </row>
    <row r="48" spans="1:17" x14ac:dyDescent="0.25">
      <c r="D48" s="5"/>
    </row>
    <row r="49" spans="4:12" ht="30" customHeight="1" x14ac:dyDescent="0.25">
      <c r="D49" s="4"/>
    </row>
    <row r="50" spans="4:12" ht="10.15" customHeight="1" x14ac:dyDescent="0.25">
      <c r="D50" s="1"/>
    </row>
    <row r="51" spans="4:12" ht="30" customHeight="1" x14ac:dyDescent="0.25">
      <c r="D51" s="4"/>
    </row>
    <row r="52" spans="4:12" ht="14.45" customHeight="1" x14ac:dyDescent="0.25">
      <c r="D52" s="1"/>
    </row>
    <row r="53" spans="4:12" ht="65.45" customHeight="1" x14ac:dyDescent="0.25">
      <c r="D53" s="6"/>
    </row>
    <row r="54" spans="4:12" ht="36" x14ac:dyDescent="0.55000000000000004">
      <c r="K54" s="52" t="s">
        <v>62</v>
      </c>
      <c r="L54" s="53"/>
    </row>
    <row r="55" spans="4:12" ht="36" x14ac:dyDescent="0.55000000000000004">
      <c r="K55" s="52" t="s">
        <v>1</v>
      </c>
      <c r="L55" s="53"/>
    </row>
    <row r="56" spans="4:12" ht="36" x14ac:dyDescent="0.55000000000000004">
      <c r="K56" s="52" t="s">
        <v>2</v>
      </c>
      <c r="L56" s="53"/>
    </row>
    <row r="57" spans="4:12" ht="36" x14ac:dyDescent="0.55000000000000004">
      <c r="K57" s="52" t="s">
        <v>3</v>
      </c>
      <c r="L57" s="53"/>
    </row>
    <row r="58" spans="4:12" ht="36" x14ac:dyDescent="0.55000000000000004">
      <c r="K58" s="52" t="s">
        <v>4</v>
      </c>
      <c r="L58" s="53"/>
    </row>
    <row r="59" spans="4:12" ht="36" x14ac:dyDescent="0.55000000000000004">
      <c r="K59" s="52" t="s">
        <v>5</v>
      </c>
      <c r="L59" s="53"/>
    </row>
    <row r="60" spans="4:12" ht="36" x14ac:dyDescent="0.55000000000000004">
      <c r="K60" s="52" t="s">
        <v>6</v>
      </c>
      <c r="L60" s="53"/>
    </row>
    <row r="61" spans="4:12" ht="36" x14ac:dyDescent="0.55000000000000004">
      <c r="K61" s="52" t="s">
        <v>7</v>
      </c>
      <c r="L61" s="53"/>
    </row>
    <row r="62" spans="4:12" ht="36" x14ac:dyDescent="0.55000000000000004">
      <c r="K62" s="52" t="s">
        <v>8</v>
      </c>
      <c r="L62" s="53"/>
    </row>
    <row r="63" spans="4:12" ht="36" x14ac:dyDescent="0.55000000000000004">
      <c r="K63" s="52" t="s">
        <v>9</v>
      </c>
      <c r="L63" s="53"/>
    </row>
    <row r="64" spans="4:12" ht="36" x14ac:dyDescent="0.55000000000000004">
      <c r="K64" s="52" t="s">
        <v>10</v>
      </c>
      <c r="L64" s="53"/>
    </row>
    <row r="65" spans="11:12" ht="36" x14ac:dyDescent="0.55000000000000004">
      <c r="K65" s="52" t="s">
        <v>11</v>
      </c>
      <c r="L65" s="53"/>
    </row>
    <row r="66" spans="11:12" ht="36" x14ac:dyDescent="0.55000000000000004">
      <c r="K66" s="52" t="s">
        <v>12</v>
      </c>
      <c r="L66" s="53"/>
    </row>
    <row r="67" spans="11:12" ht="36" x14ac:dyDescent="0.55000000000000004">
      <c r="K67" s="52" t="s">
        <v>13</v>
      </c>
      <c r="L67" s="53"/>
    </row>
    <row r="68" spans="11:12" ht="36" x14ac:dyDescent="0.55000000000000004">
      <c r="K68" s="52" t="s">
        <v>14</v>
      </c>
      <c r="L68" s="53"/>
    </row>
    <row r="69" spans="11:12" ht="36" x14ac:dyDescent="0.55000000000000004">
      <c r="K69" s="52" t="s">
        <v>15</v>
      </c>
      <c r="L69" s="53"/>
    </row>
    <row r="70" spans="11:12" ht="36" x14ac:dyDescent="0.55000000000000004">
      <c r="K70" s="52" t="s">
        <v>16</v>
      </c>
      <c r="L70" s="53"/>
    </row>
    <row r="71" spans="11:12" ht="36" x14ac:dyDescent="0.55000000000000004">
      <c r="K71" s="52" t="s">
        <v>17</v>
      </c>
      <c r="L71" s="53"/>
    </row>
    <row r="72" spans="11:12" ht="36" x14ac:dyDescent="0.55000000000000004">
      <c r="K72" s="52" t="s">
        <v>18</v>
      </c>
      <c r="L72" s="53"/>
    </row>
    <row r="73" spans="11:12" ht="36" x14ac:dyDescent="0.55000000000000004">
      <c r="K73" s="52" t="s">
        <v>19</v>
      </c>
      <c r="L73" s="53"/>
    </row>
    <row r="74" spans="11:12" ht="36" x14ac:dyDescent="0.55000000000000004">
      <c r="K74" s="52" t="s">
        <v>20</v>
      </c>
      <c r="L74" s="53"/>
    </row>
    <row r="75" spans="11:12" ht="36" x14ac:dyDescent="0.55000000000000004">
      <c r="K75" s="52" t="s">
        <v>21</v>
      </c>
      <c r="L75" s="53"/>
    </row>
    <row r="76" spans="11:12" ht="36" x14ac:dyDescent="0.55000000000000004">
      <c r="K76" s="52" t="s">
        <v>22</v>
      </c>
      <c r="L76" s="53"/>
    </row>
    <row r="77" spans="11:12" ht="36" x14ac:dyDescent="0.55000000000000004">
      <c r="K77" s="52" t="s">
        <v>23</v>
      </c>
      <c r="L77" s="53"/>
    </row>
    <row r="78" spans="11:12" ht="36" x14ac:dyDescent="0.55000000000000004">
      <c r="K78" s="52" t="s">
        <v>24</v>
      </c>
      <c r="L78" s="53"/>
    </row>
    <row r="79" spans="11:12" ht="36" x14ac:dyDescent="0.55000000000000004">
      <c r="K79" s="52" t="s">
        <v>25</v>
      </c>
      <c r="L79" s="53"/>
    </row>
    <row r="80" spans="11:12" ht="36" x14ac:dyDescent="0.55000000000000004">
      <c r="K80" s="52" t="s">
        <v>26</v>
      </c>
      <c r="L80" s="53"/>
    </row>
    <row r="81" spans="11:12" ht="36" x14ac:dyDescent="0.55000000000000004">
      <c r="K81" s="52" t="s">
        <v>27</v>
      </c>
      <c r="L81" s="53"/>
    </row>
    <row r="82" spans="11:12" ht="36" x14ac:dyDescent="0.55000000000000004">
      <c r="K82" s="52" t="s">
        <v>28</v>
      </c>
      <c r="L82" s="53"/>
    </row>
    <row r="83" spans="11:12" ht="36" x14ac:dyDescent="0.55000000000000004">
      <c r="K83" s="52" t="s">
        <v>29</v>
      </c>
      <c r="L83" s="53"/>
    </row>
    <row r="84" spans="11:12" ht="36" x14ac:dyDescent="0.55000000000000004">
      <c r="K84" s="52" t="s">
        <v>30</v>
      </c>
      <c r="L84" s="53"/>
    </row>
    <row r="85" spans="11:12" ht="36" x14ac:dyDescent="0.55000000000000004">
      <c r="K85" s="52" t="s">
        <v>31</v>
      </c>
      <c r="L85" s="53"/>
    </row>
    <row r="86" spans="11:12" ht="36" x14ac:dyDescent="0.55000000000000004">
      <c r="K86" s="52" t="s">
        <v>32</v>
      </c>
      <c r="L86" s="53"/>
    </row>
    <row r="87" spans="11:12" ht="36" x14ac:dyDescent="0.55000000000000004">
      <c r="K87" s="52" t="s">
        <v>33</v>
      </c>
      <c r="L87" s="53"/>
    </row>
    <row r="88" spans="11:12" ht="36" x14ac:dyDescent="0.55000000000000004">
      <c r="K88" s="52" t="s">
        <v>34</v>
      </c>
      <c r="L88" s="53"/>
    </row>
    <row r="89" spans="11:12" ht="36" x14ac:dyDescent="0.55000000000000004">
      <c r="K89" s="52" t="s">
        <v>35</v>
      </c>
      <c r="L89" s="53"/>
    </row>
    <row r="90" spans="11:12" ht="36" x14ac:dyDescent="0.55000000000000004">
      <c r="K90" s="52" t="s">
        <v>36</v>
      </c>
      <c r="L90" s="53"/>
    </row>
    <row r="91" spans="11:12" ht="36" x14ac:dyDescent="0.55000000000000004">
      <c r="K91" s="52" t="s">
        <v>37</v>
      </c>
      <c r="L91" s="53"/>
    </row>
    <row r="92" spans="11:12" ht="36" x14ac:dyDescent="0.55000000000000004">
      <c r="K92" s="52" t="s">
        <v>38</v>
      </c>
      <c r="L92" s="53"/>
    </row>
    <row r="93" spans="11:12" ht="36" x14ac:dyDescent="0.55000000000000004">
      <c r="K93" s="52" t="s">
        <v>39</v>
      </c>
      <c r="L93" s="53"/>
    </row>
    <row r="94" spans="11:12" ht="36" x14ac:dyDescent="0.55000000000000004">
      <c r="K94" s="52" t="s">
        <v>40</v>
      </c>
      <c r="L94" s="53"/>
    </row>
    <row r="95" spans="11:12" ht="36" x14ac:dyDescent="0.55000000000000004">
      <c r="K95" s="52" t="s">
        <v>41</v>
      </c>
      <c r="L95" s="53"/>
    </row>
    <row r="96" spans="11:12" ht="36" x14ac:dyDescent="0.55000000000000004">
      <c r="K96" s="52" t="s">
        <v>42</v>
      </c>
      <c r="L96" s="53"/>
    </row>
    <row r="97" spans="11:12" ht="36" x14ac:dyDescent="0.55000000000000004">
      <c r="K97" s="52" t="s">
        <v>43</v>
      </c>
      <c r="L97" s="53"/>
    </row>
    <row r="98" spans="11:12" ht="36" x14ac:dyDescent="0.55000000000000004">
      <c r="K98" s="52" t="s">
        <v>44</v>
      </c>
      <c r="L98" s="53"/>
    </row>
    <row r="99" spans="11:12" ht="36" x14ac:dyDescent="0.55000000000000004">
      <c r="K99" s="52" t="s">
        <v>45</v>
      </c>
      <c r="L99" s="53"/>
    </row>
    <row r="100" spans="11:12" ht="36" x14ac:dyDescent="0.55000000000000004">
      <c r="K100" s="52" t="s">
        <v>46</v>
      </c>
      <c r="L100" s="53"/>
    </row>
    <row r="101" spans="11:12" ht="36" x14ac:dyDescent="0.55000000000000004">
      <c r="K101" s="52" t="s">
        <v>47</v>
      </c>
      <c r="L101" s="53"/>
    </row>
    <row r="102" spans="11:12" ht="36" x14ac:dyDescent="0.55000000000000004">
      <c r="K102" s="52" t="s">
        <v>48</v>
      </c>
      <c r="L102" s="53"/>
    </row>
    <row r="103" spans="11:12" ht="36" x14ac:dyDescent="0.55000000000000004">
      <c r="K103" s="52" t="s">
        <v>49</v>
      </c>
      <c r="L103" s="53"/>
    </row>
    <row r="104" spans="11:12" ht="36" x14ac:dyDescent="0.55000000000000004">
      <c r="K104" s="52" t="s">
        <v>50</v>
      </c>
      <c r="L104" s="53"/>
    </row>
    <row r="105" spans="11:12" ht="36" x14ac:dyDescent="0.55000000000000004">
      <c r="K105" s="52" t="s">
        <v>51</v>
      </c>
      <c r="L105" s="53"/>
    </row>
    <row r="106" spans="11:12" ht="36" x14ac:dyDescent="0.55000000000000004">
      <c r="K106" s="52" t="s">
        <v>52</v>
      </c>
      <c r="L106" s="53"/>
    </row>
    <row r="107" spans="11:12" ht="36" x14ac:dyDescent="0.55000000000000004">
      <c r="K107" s="52" t="s">
        <v>53</v>
      </c>
      <c r="L107" s="53"/>
    </row>
    <row r="108" spans="11:12" ht="36" x14ac:dyDescent="0.55000000000000004">
      <c r="K108" s="52" t="s">
        <v>54</v>
      </c>
      <c r="L108" s="53"/>
    </row>
    <row r="109" spans="11:12" ht="36" x14ac:dyDescent="0.55000000000000004">
      <c r="K109" s="52" t="s">
        <v>55</v>
      </c>
      <c r="L109" s="53"/>
    </row>
    <row r="110" spans="11:12" ht="36" x14ac:dyDescent="0.55000000000000004">
      <c r="K110" s="52" t="s">
        <v>56</v>
      </c>
      <c r="L110" s="53"/>
    </row>
    <row r="111" spans="11:12" ht="36" x14ac:dyDescent="0.55000000000000004">
      <c r="K111" s="52" t="s">
        <v>57</v>
      </c>
      <c r="L111" s="53"/>
    </row>
    <row r="112" spans="11:12" ht="36" x14ac:dyDescent="0.55000000000000004">
      <c r="K112" s="52" t="s">
        <v>58</v>
      </c>
      <c r="L112" s="53"/>
    </row>
    <row r="113" spans="11:12" ht="36" x14ac:dyDescent="0.55000000000000004">
      <c r="K113" s="52" t="s">
        <v>59</v>
      </c>
      <c r="L113" s="53"/>
    </row>
    <row r="114" spans="11:12" ht="36" x14ac:dyDescent="0.55000000000000004">
      <c r="K114" s="52" t="s">
        <v>60</v>
      </c>
      <c r="L114" s="53"/>
    </row>
    <row r="115" spans="11:12" ht="36" x14ac:dyDescent="0.55000000000000004">
      <c r="K115" s="52" t="s">
        <v>61</v>
      </c>
      <c r="L115" s="53"/>
    </row>
  </sheetData>
  <sheetProtection password="8E71" sheet="1" objects="1" scenarios="1" selectLockedCells="1"/>
  <mergeCells count="55">
    <mergeCell ref="A41:H41"/>
    <mergeCell ref="A44:H44"/>
    <mergeCell ref="A46:H46"/>
    <mergeCell ref="A47:H47"/>
    <mergeCell ref="A7:C7"/>
    <mergeCell ref="A39:I39"/>
    <mergeCell ref="A40:D40"/>
    <mergeCell ref="E40:I40"/>
    <mergeCell ref="D37:F37"/>
    <mergeCell ref="G37:I37"/>
    <mergeCell ref="A34:I34"/>
    <mergeCell ref="A38:C38"/>
    <mergeCell ref="D38:F38"/>
    <mergeCell ref="G38:I38"/>
    <mergeCell ref="H32:I32"/>
    <mergeCell ref="A36:C36"/>
    <mergeCell ref="D36:F36"/>
    <mergeCell ref="G36:I36"/>
    <mergeCell ref="A25:I25"/>
    <mergeCell ref="A37:C37"/>
    <mergeCell ref="A35:C35"/>
    <mergeCell ref="A33:C33"/>
    <mergeCell ref="D33:F33"/>
    <mergeCell ref="D35:F35"/>
    <mergeCell ref="A21:H21"/>
    <mergeCell ref="G35:I35"/>
    <mergeCell ref="A1:I1"/>
    <mergeCell ref="A2:I2"/>
    <mergeCell ref="A3:I3"/>
    <mergeCell ref="A4:I4"/>
    <mergeCell ref="A8:I8"/>
    <mergeCell ref="A5:C5"/>
    <mergeCell ref="E5:G5"/>
    <mergeCell ref="A6:C6"/>
    <mergeCell ref="D6:F6"/>
    <mergeCell ref="D7:F7"/>
    <mergeCell ref="A11:F11"/>
    <mergeCell ref="A14:F14"/>
    <mergeCell ref="A26:G26"/>
    <mergeCell ref="A42:H42"/>
    <mergeCell ref="A43:H43"/>
    <mergeCell ref="A45:H45"/>
    <mergeCell ref="D17:F17"/>
    <mergeCell ref="D18:F18"/>
    <mergeCell ref="D24:F24"/>
    <mergeCell ref="A24:C24"/>
    <mergeCell ref="A17:C17"/>
    <mergeCell ref="A20:I20"/>
    <mergeCell ref="G24:H24"/>
    <mergeCell ref="A18:C18"/>
    <mergeCell ref="A32:C32"/>
    <mergeCell ref="D32:F32"/>
    <mergeCell ref="H22:I22"/>
    <mergeCell ref="A19:I19"/>
    <mergeCell ref="A29:G29"/>
  </mergeCells>
  <conditionalFormatting sqref="D17">
    <cfRule type="cellIs" dxfId="30" priority="28" operator="equal">
      <formula>2</formula>
    </cfRule>
    <cfRule type="cellIs" dxfId="29" priority="29" operator="equal">
      <formula>1</formula>
    </cfRule>
  </conditionalFormatting>
  <conditionalFormatting sqref="A15">
    <cfRule type="cellIs" dxfId="28" priority="27" operator="equal">
      <formula>0</formula>
    </cfRule>
  </conditionalFormatting>
  <conditionalFormatting sqref="D24">
    <cfRule type="cellIs" dxfId="27" priority="17" operator="equal">
      <formula>2</formula>
    </cfRule>
    <cfRule type="cellIs" dxfId="26" priority="18" operator="equal">
      <formula>1</formula>
    </cfRule>
    <cfRule type="cellIs" dxfId="25" priority="19" operator="equal">
      <formula>0</formula>
    </cfRule>
  </conditionalFormatting>
  <conditionalFormatting sqref="E40:I40 I41:I43">
    <cfRule type="containsText" dxfId="24" priority="8" operator="containsText" text="NEEDS INTERVENTION (red)">
      <formula>NOT(ISERROR(SEARCH("NEEDS INTERVENTION (red)",E40)))</formula>
    </cfRule>
    <cfRule type="containsText" dxfId="23" priority="9" operator="containsText" text="NEEDS ASSISTANCE (yellow)">
      <formula>NOT(ISERROR(SEARCH("NEEDS ASSISTANCE (yellow)",E40)))</formula>
    </cfRule>
  </conditionalFormatting>
  <conditionalFormatting sqref="D7">
    <cfRule type="cellIs" dxfId="22" priority="5" operator="equal">
      <formula>2</formula>
    </cfRule>
    <cfRule type="cellIs" dxfId="21" priority="6" operator="equal">
      <formula>1</formula>
    </cfRule>
    <cfRule type="cellIs" dxfId="20" priority="7" operator="equal">
      <formula>0</formula>
    </cfRule>
  </conditionalFormatting>
  <conditionalFormatting sqref="D32:F32">
    <cfRule type="cellIs" dxfId="19" priority="2" operator="equal">
      <formula>2</formula>
    </cfRule>
    <cfRule type="cellIs" dxfId="18" priority="3" operator="equal">
      <formula>1</formula>
    </cfRule>
    <cfRule type="cellIs" dxfId="17" priority="4" operator="equal">
      <formula>0</formula>
    </cfRule>
  </conditionalFormatting>
  <conditionalFormatting sqref="D17:F17">
    <cfRule type="cellIs" dxfId="16" priority="1" operator="equal">
      <formula>0</formula>
    </cfRule>
  </conditionalFormatting>
  <dataValidations xWindow="607" yWindow="474" count="2">
    <dataValidation allowBlank="1" showInputMessage="1" showErrorMessage="1" prompt="Enter:_x000a_ 0-100%, N/A, or Data Suppressed_x000a_" sqref="B22:B23 B15:B16 B9:B10 B12:B13 B27:B28 B30:B31"/>
    <dataValidation type="list" allowBlank="1" showInputMessage="1" showErrorMessage="1" sqref="A1">
      <formula1>$K$54:$K$115</formula1>
    </dataValidation>
  </dataValidations>
  <hyperlinks>
    <hyperlink ref="A44:H44" location="'Performance Change Over Time'!A1" display="3. Review the &quot;Performance Change Over Time&quot; tab within this workbook for a detailed description of this calculation."/>
    <hyperlink ref="A42:H42" location="'Data Anomalies'!A1" display="1. Review the &quot;Data Anomalies&quot; tab within this workbook for a detailed description of this calculation."/>
    <hyperlink ref="A46:H46" location="'Compliance Matrix Part C'!A1" display="5. Review the &quot;Compliance Matrix Part C&quot; tab within this workbook to view a breakdown of the compliance points earned."/>
    <hyperlink ref="A43:H43" location="'Data Comparison'!A1" display="2. Review the &quot;Data Comparison&quot; tab within this workbook for a detailed description of this calculation."/>
    <hyperlink ref="A45:H45" location="'Explanatory Notes'!A1" display="4. Review the &quot;Explanatory Notes&quot; tab within this workbook for additional information on results calculations. "/>
    <hyperlink ref="A41:H41" location="'Data Completeness'!A1" display="Review the &quot;Data Completeness&quot; tab within this workbook for a detailed description of this calculation"/>
  </hyperlinks>
  <printOptions horizontalCentered="1" verticalCentered="1"/>
  <pageMargins left="0.09" right="7.0000000000000007E-2" top="0.25" bottom="0.3" header="0.3" footer="0.3"/>
  <pageSetup scale="39" fitToWidth="0" fitToHeight="0" orientation="portrait" r:id="rId1"/>
  <headerFooter>
    <oddHeader>&amp;CDELIBERATIVE DOCUMENT</oddHeader>
    <oddFooter>&amp;CDELIBERATIVE DOCUMENT</oddFooter>
  </headerFooter>
  <extLst>
    <ext xmlns:x14="http://schemas.microsoft.com/office/spreadsheetml/2009/9/main" uri="{78C0D931-6437-407d-A8EE-F0AAD7539E65}">
      <x14:conditionalFormattings>
        <x14:conditionalFormatting xmlns:xm="http://schemas.microsoft.com/office/excel/2006/main">
          <x14:cfRule type="containsText" priority="10" operator="containsText" id="{1881658E-B15F-4FE2-AD45-07A24A2B2D84}">
            <xm:f>NOT(ISERROR(SEARCH("MEETS REQUIREMENTS (green)",E40)))</xm:f>
            <xm:f>"MEETS REQUIREMENTS (green)"</xm:f>
            <x14:dxf>
              <fill>
                <patternFill>
                  <bgColor rgb="FF00B050"/>
                </patternFill>
              </fill>
            </x14:dxf>
          </x14:cfRule>
          <xm:sqref>E40:I40 I41:I43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86"/>
  <sheetViews>
    <sheetView showGridLines="0" zoomScale="80" zoomScaleNormal="80" zoomScalePageLayoutView="60" workbookViewId="0"/>
  </sheetViews>
  <sheetFormatPr defaultRowHeight="15" x14ac:dyDescent="0.25"/>
  <cols>
    <col min="1" max="1" width="92.5703125" customWidth="1"/>
    <col min="2" max="2" width="35" customWidth="1"/>
    <col min="3" max="3" width="51.85546875" customWidth="1"/>
    <col min="4" max="4" width="38.28515625" customWidth="1"/>
    <col min="5" max="7" width="0" hidden="1" customWidth="1"/>
  </cols>
  <sheetData>
    <row r="1" spans="1:7" ht="113.25" customHeight="1" thickBot="1" x14ac:dyDescent="0.3">
      <c r="A1" s="23" t="s">
        <v>9</v>
      </c>
      <c r="B1" s="357" t="s">
        <v>91</v>
      </c>
      <c r="C1" s="357"/>
      <c r="D1" s="358"/>
      <c r="E1" s="10"/>
      <c r="F1" s="10"/>
      <c r="G1" s="10"/>
    </row>
    <row r="2" spans="1:7" ht="134.25" customHeight="1" thickBot="1" x14ac:dyDescent="0.3">
      <c r="A2" s="24" t="s">
        <v>92</v>
      </c>
      <c r="B2" s="24" t="s">
        <v>0</v>
      </c>
      <c r="C2" s="24" t="s">
        <v>93</v>
      </c>
      <c r="D2" s="24" t="s">
        <v>84</v>
      </c>
      <c r="E2" s="10"/>
      <c r="F2" s="10"/>
      <c r="G2" s="10"/>
    </row>
    <row r="3" spans="1:7" ht="75" customHeight="1" thickBot="1" x14ac:dyDescent="0.3">
      <c r="A3" s="25" t="s">
        <v>94</v>
      </c>
      <c r="B3" s="26">
        <v>0.99160000000000004</v>
      </c>
      <c r="C3" s="27" t="s">
        <v>95</v>
      </c>
      <c r="D3" s="28">
        <f>IF(F3="ERROR","ERROR",IF(F3="ERROR","ERROR",IF(F3="N/A","N/A",IF(C3="N",F3,IF(C3="N/A",F3,IF(F3=0,0,IF(F3=2,2,IF(B3&gt;89.49%,F3+1,F3))))))))</f>
        <v>2</v>
      </c>
      <c r="E3" s="10"/>
      <c r="F3" s="28">
        <f>IF(B3="N/A","N/A",IF(B3="No Data",0,IF(B3="Not Valid and Reliable",0,IF(B3&lt;0,"ERROR", IF(B3&gt;100%,"ERROR",IF(B3&gt;94.49%,2,IF(B3&gt;74.49%,1,0)))))))</f>
        <v>2</v>
      </c>
      <c r="G3" s="10"/>
    </row>
    <row r="4" spans="1:7" ht="75" customHeight="1" thickBot="1" x14ac:dyDescent="0.3">
      <c r="A4" s="25" t="s">
        <v>96</v>
      </c>
      <c r="B4" s="26">
        <v>0.99950000000000006</v>
      </c>
      <c r="C4" s="27" t="s">
        <v>85</v>
      </c>
      <c r="D4" s="28">
        <f>IF(F4="ERROR","ERROR",IF(F4="ERROR","ERROR",IF(F4="N/A","N/A",IF(C4="N",F4,IF(C4="N/A",F4,IF(F4=0,0,IF(F4=2,2,IF(B4&gt;89.49%,F4+1,F4))))))))</f>
        <v>2</v>
      </c>
      <c r="E4" s="10"/>
      <c r="F4" s="28">
        <f>IF(B4="N/A","N/A",IF(B4="No Data",0,IF(B4="Not Valid and Reliable",0,IF(B4&lt;0,"ERROR", IF(B4&gt;100%,"ERROR",IF(B4&gt;94.49%,2,IF(B4&gt;74.49%,1,0)))))))</f>
        <v>2</v>
      </c>
      <c r="G4" s="10"/>
    </row>
    <row r="5" spans="1:7" ht="75" customHeight="1" thickBot="1" x14ac:dyDescent="0.3">
      <c r="A5" s="25" t="s">
        <v>97</v>
      </c>
      <c r="B5" s="26">
        <v>1</v>
      </c>
      <c r="C5" s="27" t="s">
        <v>95</v>
      </c>
      <c r="D5" s="28">
        <f>IF(F5="ERROR","ERROR",IF(F5="ERROR","ERROR",IF(F5="N/A","N/A",IF(C5="N",F5,IF(C5="N/A",F5,IF(F5=0,0,IF(F5=2,2,IF(B5&gt;89.49%,F5+1,F5))))))))</f>
        <v>2</v>
      </c>
      <c r="E5" s="10"/>
      <c r="F5" s="28">
        <f>IF(B5="N/A","N/A",IF(B5="No Data",0,IF(B5="Not Valid and Reliable",0,IF(B5&lt;0,"ERROR", IF(B5&gt;100%,"ERROR",IF(B5&gt;94.49%,2,IF(B5&gt;74.49%,1,0)))))))</f>
        <v>2</v>
      </c>
      <c r="G5" s="10"/>
    </row>
    <row r="6" spans="1:7" ht="75" customHeight="1" thickBot="1" x14ac:dyDescent="0.3">
      <c r="A6" s="25" t="s">
        <v>98</v>
      </c>
      <c r="B6" s="26">
        <v>1</v>
      </c>
      <c r="C6" s="27" t="s">
        <v>85</v>
      </c>
      <c r="D6" s="28">
        <f>IF(F6="ERROR","ERROR",IF(F6="ERROR","ERROR",IF(F6="N/A","N/A",IF(C6="N",F6,IF(C6="N/A",F6,IF(F6=0,0,IF(F6=2,2,IF(B6&gt;89.49%,F6+1,F6))))))))</f>
        <v>2</v>
      </c>
      <c r="E6" s="10"/>
      <c r="F6" s="28">
        <f>IF(B6="N/A","N/A",IF(B6="No Data",0,IF(B6="Not Valid and Reliable",0,IF(B6&lt;0,"ERROR", IF(B6&gt;100%,"ERROR",IF(B6&gt;94.49%,2,IF(B6&gt;74.49%,1,0)))))))</f>
        <v>2</v>
      </c>
      <c r="G6" s="10"/>
    </row>
    <row r="7" spans="1:7" ht="75" customHeight="1" thickBot="1" x14ac:dyDescent="0.3">
      <c r="A7" s="25" t="s">
        <v>99</v>
      </c>
      <c r="B7" s="26">
        <v>0.99360000000000004</v>
      </c>
      <c r="C7" s="27" t="s">
        <v>95</v>
      </c>
      <c r="D7" s="28">
        <f>IF(F7="ERROR","ERROR",IF(F7="N/A","N/A",IF(C7="N",F7,IF(C7="N/A",F7,IF(F7=0,0,IF(F7=2,2,IF(B7&gt;89.49%,F7+1,F7)))))))</f>
        <v>2</v>
      </c>
      <c r="E7" s="10"/>
      <c r="F7" s="28">
        <f>IF(B7="N/A","N/A",IF(B7="No Data",0,IF(B7="Not Valid and Reliable",0,IF(B7&lt;0,"ERROR", IF(B7&gt;100%,"ERROR",IF(B7&gt;94.49%,2,IF(B7&gt;74.49%,1,0)))))))</f>
        <v>2</v>
      </c>
      <c r="G7" s="10"/>
    </row>
    <row r="8" spans="1:7" ht="75" customHeight="1" thickBot="1" x14ac:dyDescent="0.3">
      <c r="A8" s="56" t="s">
        <v>109</v>
      </c>
      <c r="B8" s="26">
        <v>1</v>
      </c>
      <c r="C8" s="29"/>
      <c r="D8" s="28">
        <f>F10</f>
        <v>2</v>
      </c>
      <c r="E8" s="10"/>
      <c r="F8" s="28" t="str">
        <f>IF(B9="N/A","N/A",IF(B9="No Data",0,IF(B9="Not Valid and Reliable",0,IF(B9&lt;0,"ERROR", IF(B9&gt;100%,"ERROR",IF(B9&gt;94.49%,2,IF(B9&gt;74.49%,1,0)))))))</f>
        <v>N/A</v>
      </c>
      <c r="G8" s="10"/>
    </row>
    <row r="9" spans="1:7" ht="75" customHeight="1" thickBot="1" x14ac:dyDescent="0.3">
      <c r="A9" s="30" t="s">
        <v>100</v>
      </c>
      <c r="B9" s="26" t="s">
        <v>85</v>
      </c>
      <c r="C9" s="29"/>
      <c r="D9" s="28" t="str">
        <f>F8</f>
        <v>N/A</v>
      </c>
      <c r="E9" s="10"/>
      <c r="F9" s="28" t="str">
        <f>IF(B10="N/A","N/A",IF(B10="No Data",0,IF(B10="Not Valid and Reliable",0,IF(B10&lt;0,"ERROR", IF(B10&gt;100%,"ERROR",IF(B10&gt;94.49%,2,IF(B10&gt;74.49%,1,0)))))))</f>
        <v>N/A</v>
      </c>
      <c r="G9" s="10"/>
    </row>
    <row r="10" spans="1:7" ht="75" customHeight="1" thickBot="1" x14ac:dyDescent="0.3">
      <c r="A10" s="25" t="s">
        <v>101</v>
      </c>
      <c r="B10" s="26" t="s">
        <v>85</v>
      </c>
      <c r="C10" s="29"/>
      <c r="D10" s="28" t="str">
        <f>F9</f>
        <v>N/A</v>
      </c>
      <c r="E10" s="10"/>
      <c r="F10" s="28">
        <f>IF(B8="N/A","N/A",IF(B8="No Data",0,IF(B8="Not Valid and Reliable",0,IF(B8&lt;0,"ERROR", IF(B8&gt;100%,"ERROR",IF(B8&gt;94.49%,2,IF(B8&gt;74.49%,1,0)))))))</f>
        <v>2</v>
      </c>
      <c r="G10" s="10"/>
    </row>
    <row r="11" spans="1:7" ht="75" customHeight="1" thickBot="1" x14ac:dyDescent="0.3">
      <c r="A11" s="31" t="s">
        <v>102</v>
      </c>
      <c r="B11" s="32">
        <f>SUM(F12:F13)</f>
        <v>4</v>
      </c>
      <c r="C11" s="29"/>
      <c r="D11" s="28">
        <f>F11</f>
        <v>2</v>
      </c>
      <c r="E11" s="10"/>
      <c r="F11" s="28">
        <f>IF(B11=4,2,IF(B11&lt;3,0,1))</f>
        <v>2</v>
      </c>
      <c r="G11" s="10"/>
    </row>
    <row r="12" spans="1:7" ht="75" customHeight="1" thickBot="1" x14ac:dyDescent="0.3">
      <c r="A12" s="33" t="s">
        <v>103</v>
      </c>
      <c r="B12" s="34" t="s">
        <v>104</v>
      </c>
      <c r="C12" s="29"/>
      <c r="D12" s="35"/>
      <c r="E12" s="10"/>
      <c r="F12" s="35">
        <f>IF(B12="NONE",2, IF(B12="YES 1 OR 2 YRS", 1.5,IF(B12="YES 3 OR MORE YRS", 0)))</f>
        <v>2</v>
      </c>
      <c r="G12" s="10"/>
    </row>
    <row r="13" spans="1:7" ht="75" customHeight="1" thickBot="1" x14ac:dyDescent="0.3">
      <c r="A13" s="33" t="s">
        <v>105</v>
      </c>
      <c r="B13" s="34" t="s">
        <v>104</v>
      </c>
      <c r="C13" s="29"/>
      <c r="D13" s="35"/>
      <c r="E13" s="10"/>
      <c r="F13" s="35">
        <f>IF(B13="NONE",2, IF(B13="YES 2 TO 4 YRS", 1.5,IF(B13="YES 5 OR MORE YRS", 0)))</f>
        <v>2</v>
      </c>
      <c r="G13" s="10"/>
    </row>
    <row r="14" spans="1:7" ht="75" customHeight="1" thickBot="1" x14ac:dyDescent="0.3">
      <c r="A14" s="36"/>
      <c r="B14" s="37" t="s">
        <v>106</v>
      </c>
      <c r="C14" s="38"/>
      <c r="D14" s="39">
        <f>SUM(D3:D11)</f>
        <v>14</v>
      </c>
      <c r="E14" s="10"/>
      <c r="F14" s="28" t="e">
        <f>IF(#REF!=6,2,IF(#REF!&lt;5,0,1))</f>
        <v>#REF!</v>
      </c>
      <c r="G14" s="10"/>
    </row>
    <row r="15" spans="1:7" ht="37.5" customHeight="1" thickBot="1" x14ac:dyDescent="0.35">
      <c r="A15" s="40"/>
      <c r="B15" s="41"/>
      <c r="C15" s="41"/>
      <c r="D15" s="41"/>
      <c r="E15" s="41"/>
      <c r="F15" s="10"/>
      <c r="G15" s="10"/>
    </row>
    <row r="16" spans="1:7" ht="75" customHeight="1" thickBot="1" x14ac:dyDescent="0.35">
      <c r="A16" s="42" t="s">
        <v>72</v>
      </c>
      <c r="B16" s="42" t="s">
        <v>107</v>
      </c>
      <c r="C16" s="359" t="s">
        <v>73</v>
      </c>
      <c r="D16" s="360"/>
      <c r="E16" s="41"/>
      <c r="F16" s="10"/>
      <c r="G16" s="10"/>
    </row>
    <row r="17" spans="1:7" ht="75" customHeight="1" thickBot="1" x14ac:dyDescent="0.3">
      <c r="A17" s="43">
        <f>(COUNT(D3:D11)*2)</f>
        <v>14</v>
      </c>
      <c r="B17" s="44">
        <f>D14</f>
        <v>14</v>
      </c>
      <c r="C17" s="361">
        <f>B17/A17*100</f>
        <v>100</v>
      </c>
      <c r="D17" s="362"/>
      <c r="E17" s="10"/>
      <c r="F17" s="10"/>
      <c r="G17" s="10"/>
    </row>
    <row r="18" spans="1:7" x14ac:dyDescent="0.25">
      <c r="A18" s="5"/>
      <c r="B18" s="5"/>
      <c r="C18" s="5"/>
      <c r="D18" s="5"/>
      <c r="E18" s="10"/>
      <c r="F18" s="10"/>
      <c r="G18" s="10"/>
    </row>
    <row r="19" spans="1:7" ht="26.25" x14ac:dyDescent="0.25">
      <c r="A19" s="363" t="s">
        <v>108</v>
      </c>
      <c r="B19" s="363"/>
      <c r="C19" s="363"/>
      <c r="D19" s="363"/>
      <c r="E19" s="5"/>
      <c r="F19" s="10"/>
      <c r="G19" s="10"/>
    </row>
    <row r="20" spans="1:7" ht="26.25" x14ac:dyDescent="0.25">
      <c r="A20" s="45"/>
      <c r="B20" s="4"/>
      <c r="C20" s="4"/>
      <c r="D20" s="4"/>
      <c r="E20" s="8"/>
      <c r="F20" s="10"/>
      <c r="G20" s="10"/>
    </row>
    <row r="21" spans="1:7" ht="20.25" x14ac:dyDescent="0.3">
      <c r="A21" s="46"/>
      <c r="B21" s="47"/>
      <c r="C21" s="47"/>
      <c r="D21" s="47"/>
      <c r="E21" s="4"/>
      <c r="F21" s="10"/>
      <c r="G21" s="10"/>
    </row>
    <row r="22" spans="1:7" x14ac:dyDescent="0.25">
      <c r="A22" s="48"/>
      <c r="B22" s="4"/>
      <c r="C22" s="4"/>
      <c r="D22" s="4"/>
      <c r="E22" s="8"/>
      <c r="F22" s="10"/>
      <c r="G22" s="10"/>
    </row>
    <row r="23" spans="1:7" x14ac:dyDescent="0.25">
      <c r="A23" s="6"/>
      <c r="B23" s="6"/>
      <c r="C23" s="6"/>
      <c r="D23" s="6"/>
      <c r="E23" s="4"/>
      <c r="F23" s="10"/>
      <c r="G23" s="10"/>
    </row>
    <row r="24" spans="1:7" x14ac:dyDescent="0.25">
      <c r="A24" s="2"/>
      <c r="B24" s="10"/>
      <c r="C24" s="10"/>
      <c r="D24" s="10"/>
      <c r="E24" s="6"/>
      <c r="F24" s="10"/>
      <c r="G24" s="10"/>
    </row>
    <row r="25" spans="1:7" ht="36" x14ac:dyDescent="0.55000000000000004">
      <c r="A25" s="2"/>
      <c r="B25" s="10"/>
      <c r="C25" s="10"/>
      <c r="D25" s="10"/>
      <c r="E25" s="3" t="s">
        <v>62</v>
      </c>
      <c r="F25" s="10"/>
      <c r="G25" s="10"/>
    </row>
    <row r="26" spans="1:7" ht="36" x14ac:dyDescent="0.55000000000000004">
      <c r="A26" s="2"/>
      <c r="B26" s="10"/>
      <c r="C26" s="10"/>
      <c r="D26" s="10"/>
      <c r="E26" s="3" t="s">
        <v>1</v>
      </c>
      <c r="F26" s="10"/>
      <c r="G26" s="10"/>
    </row>
    <row r="27" spans="1:7" ht="36" x14ac:dyDescent="0.55000000000000004">
      <c r="A27" s="2"/>
      <c r="B27" s="10"/>
      <c r="C27" s="10"/>
      <c r="D27" s="10"/>
      <c r="E27" s="3" t="s">
        <v>2</v>
      </c>
      <c r="F27" s="10"/>
      <c r="G27" s="10"/>
    </row>
    <row r="28" spans="1:7" ht="36" x14ac:dyDescent="0.55000000000000004">
      <c r="A28" s="2"/>
      <c r="B28" s="10"/>
      <c r="C28" s="10"/>
      <c r="D28" s="10"/>
      <c r="E28" s="3" t="s">
        <v>3</v>
      </c>
      <c r="F28" s="10"/>
      <c r="G28" s="10"/>
    </row>
    <row r="29" spans="1:7" ht="36" x14ac:dyDescent="0.55000000000000004">
      <c r="A29" s="2"/>
      <c r="B29" s="10"/>
      <c r="C29" s="10"/>
      <c r="D29" s="10"/>
      <c r="E29" s="3" t="s">
        <v>4</v>
      </c>
      <c r="F29" s="10"/>
      <c r="G29" s="10"/>
    </row>
    <row r="30" spans="1:7" ht="36" x14ac:dyDescent="0.55000000000000004">
      <c r="A30" s="2"/>
      <c r="B30" s="10"/>
      <c r="C30" s="10"/>
      <c r="D30" s="10"/>
      <c r="E30" s="3" t="s">
        <v>5</v>
      </c>
      <c r="F30" s="10"/>
      <c r="G30" s="10"/>
    </row>
    <row r="31" spans="1:7" ht="36" x14ac:dyDescent="0.55000000000000004">
      <c r="A31" s="2"/>
      <c r="B31" s="10"/>
      <c r="C31" s="10"/>
      <c r="D31" s="10"/>
      <c r="E31" s="3" t="s">
        <v>6</v>
      </c>
      <c r="F31" s="10"/>
      <c r="G31" s="10"/>
    </row>
    <row r="32" spans="1:7" ht="36" x14ac:dyDescent="0.55000000000000004">
      <c r="A32" s="2"/>
      <c r="B32" s="10"/>
      <c r="C32" s="10"/>
      <c r="D32" s="10"/>
      <c r="E32" s="3" t="s">
        <v>7</v>
      </c>
      <c r="F32" s="10"/>
      <c r="G32" s="10"/>
    </row>
    <row r="33" spans="1:7" ht="36" x14ac:dyDescent="0.55000000000000004">
      <c r="A33" s="2"/>
      <c r="B33" s="10"/>
      <c r="C33" s="10"/>
      <c r="D33" s="10"/>
      <c r="E33" s="3" t="s">
        <v>8</v>
      </c>
      <c r="F33" s="10"/>
      <c r="G33" s="10"/>
    </row>
    <row r="34" spans="1:7" ht="36" x14ac:dyDescent="0.55000000000000004">
      <c r="A34" s="2"/>
      <c r="B34" s="10"/>
      <c r="C34" s="10"/>
      <c r="D34" s="10"/>
      <c r="E34" s="3" t="s">
        <v>9</v>
      </c>
      <c r="F34" s="10"/>
      <c r="G34" s="10"/>
    </row>
    <row r="35" spans="1:7" ht="36" x14ac:dyDescent="0.55000000000000004">
      <c r="A35" s="2"/>
      <c r="B35" s="10"/>
      <c r="C35" s="10"/>
      <c r="D35" s="10"/>
      <c r="E35" s="3" t="s">
        <v>10</v>
      </c>
      <c r="F35" s="10"/>
      <c r="G35" s="10"/>
    </row>
    <row r="36" spans="1:7" ht="36" x14ac:dyDescent="0.55000000000000004">
      <c r="A36" s="2"/>
      <c r="B36" s="10"/>
      <c r="C36" s="10"/>
      <c r="D36" s="10"/>
      <c r="E36" s="3" t="s">
        <v>11</v>
      </c>
      <c r="F36" s="10"/>
      <c r="G36" s="10"/>
    </row>
    <row r="37" spans="1:7" ht="36" x14ac:dyDescent="0.55000000000000004">
      <c r="A37" s="2"/>
      <c r="B37" s="10"/>
      <c r="C37" s="10"/>
      <c r="D37" s="10"/>
      <c r="E37" s="3" t="s">
        <v>12</v>
      </c>
      <c r="F37" s="10"/>
      <c r="G37" s="10"/>
    </row>
    <row r="38" spans="1:7" ht="36" x14ac:dyDescent="0.55000000000000004">
      <c r="A38" s="2"/>
      <c r="B38" s="10"/>
      <c r="C38" s="10"/>
      <c r="D38" s="10"/>
      <c r="E38" s="3" t="s">
        <v>13</v>
      </c>
      <c r="F38" s="10"/>
      <c r="G38" s="10"/>
    </row>
    <row r="39" spans="1:7" ht="36" x14ac:dyDescent="0.55000000000000004">
      <c r="A39" s="2"/>
      <c r="B39" s="10"/>
      <c r="C39" s="10"/>
      <c r="D39" s="10"/>
      <c r="E39" s="3" t="s">
        <v>14</v>
      </c>
      <c r="F39" s="10"/>
      <c r="G39" s="10"/>
    </row>
    <row r="40" spans="1:7" ht="36" x14ac:dyDescent="0.55000000000000004">
      <c r="A40" s="2"/>
      <c r="B40" s="10"/>
      <c r="C40" s="10"/>
      <c r="D40" s="10"/>
      <c r="E40" s="3" t="s">
        <v>15</v>
      </c>
      <c r="F40" s="10"/>
      <c r="G40" s="10"/>
    </row>
    <row r="41" spans="1:7" ht="36" x14ac:dyDescent="0.55000000000000004">
      <c r="A41" s="2"/>
      <c r="B41" s="10"/>
      <c r="C41" s="10"/>
      <c r="D41" s="10"/>
      <c r="E41" s="3" t="s">
        <v>16</v>
      </c>
      <c r="F41" s="10"/>
      <c r="G41" s="10"/>
    </row>
    <row r="42" spans="1:7" ht="36" x14ac:dyDescent="0.55000000000000004">
      <c r="A42" s="2"/>
      <c r="B42" s="10"/>
      <c r="C42" s="10"/>
      <c r="D42" s="10"/>
      <c r="E42" s="3" t="s">
        <v>17</v>
      </c>
      <c r="F42" s="10"/>
      <c r="G42" s="10"/>
    </row>
    <row r="43" spans="1:7" ht="36" x14ac:dyDescent="0.55000000000000004">
      <c r="A43" s="2"/>
      <c r="B43" s="10"/>
      <c r="C43" s="10"/>
      <c r="D43" s="10"/>
      <c r="E43" s="3" t="s">
        <v>18</v>
      </c>
      <c r="F43" s="10"/>
      <c r="G43" s="10"/>
    </row>
    <row r="44" spans="1:7" ht="36" x14ac:dyDescent="0.55000000000000004">
      <c r="A44" s="2"/>
      <c r="B44" s="10"/>
      <c r="C44" s="10"/>
      <c r="D44" s="10"/>
      <c r="E44" s="3" t="s">
        <v>19</v>
      </c>
      <c r="F44" s="10"/>
      <c r="G44" s="10"/>
    </row>
    <row r="45" spans="1:7" ht="36" x14ac:dyDescent="0.55000000000000004">
      <c r="A45" s="2"/>
      <c r="B45" s="10"/>
      <c r="C45" s="10"/>
      <c r="D45" s="10"/>
      <c r="E45" s="3" t="s">
        <v>20</v>
      </c>
      <c r="F45" s="10"/>
      <c r="G45" s="10"/>
    </row>
    <row r="46" spans="1:7" ht="36" x14ac:dyDescent="0.55000000000000004">
      <c r="A46" s="2"/>
      <c r="B46" s="10"/>
      <c r="C46" s="10"/>
      <c r="D46" s="10"/>
      <c r="E46" s="3" t="s">
        <v>21</v>
      </c>
      <c r="F46" s="10"/>
      <c r="G46" s="10"/>
    </row>
    <row r="47" spans="1:7" ht="36" x14ac:dyDescent="0.55000000000000004">
      <c r="A47" s="2"/>
      <c r="B47" s="10"/>
      <c r="C47" s="10"/>
      <c r="D47" s="10"/>
      <c r="E47" s="3" t="s">
        <v>22</v>
      </c>
      <c r="F47" s="10"/>
      <c r="G47" s="10"/>
    </row>
    <row r="48" spans="1:7" ht="36" x14ac:dyDescent="0.55000000000000004">
      <c r="A48" s="2"/>
      <c r="B48" s="10"/>
      <c r="C48" s="10"/>
      <c r="D48" s="10"/>
      <c r="E48" s="3" t="s">
        <v>23</v>
      </c>
      <c r="F48" s="10"/>
      <c r="G48" s="10"/>
    </row>
    <row r="49" spans="1:7" ht="36" x14ac:dyDescent="0.55000000000000004">
      <c r="A49" s="2"/>
      <c r="B49" s="10"/>
      <c r="C49" s="10"/>
      <c r="D49" s="10"/>
      <c r="E49" s="3" t="s">
        <v>24</v>
      </c>
      <c r="F49" s="10"/>
      <c r="G49" s="10"/>
    </row>
    <row r="50" spans="1:7" ht="36" x14ac:dyDescent="0.55000000000000004">
      <c r="A50" s="2"/>
      <c r="B50" s="10"/>
      <c r="C50" s="10"/>
      <c r="D50" s="10"/>
      <c r="E50" s="3" t="s">
        <v>25</v>
      </c>
      <c r="F50" s="10"/>
      <c r="G50" s="10"/>
    </row>
    <row r="51" spans="1:7" ht="36" x14ac:dyDescent="0.55000000000000004">
      <c r="A51" s="2"/>
      <c r="B51" s="10"/>
      <c r="C51" s="10"/>
      <c r="D51" s="10"/>
      <c r="E51" s="3" t="s">
        <v>26</v>
      </c>
      <c r="F51" s="10"/>
      <c r="G51" s="10"/>
    </row>
    <row r="52" spans="1:7" ht="36" x14ac:dyDescent="0.55000000000000004">
      <c r="A52" s="2"/>
      <c r="B52" s="10"/>
      <c r="C52" s="10"/>
      <c r="D52" s="10"/>
      <c r="E52" s="3" t="s">
        <v>27</v>
      </c>
      <c r="F52" s="10"/>
      <c r="G52" s="10"/>
    </row>
    <row r="53" spans="1:7" ht="36" x14ac:dyDescent="0.55000000000000004">
      <c r="A53" s="2"/>
      <c r="B53" s="10"/>
      <c r="C53" s="10"/>
      <c r="D53" s="10"/>
      <c r="E53" s="3" t="s">
        <v>28</v>
      </c>
      <c r="F53" s="10"/>
      <c r="G53" s="10"/>
    </row>
    <row r="54" spans="1:7" ht="36" x14ac:dyDescent="0.55000000000000004">
      <c r="A54" s="2"/>
      <c r="B54" s="10"/>
      <c r="C54" s="10"/>
      <c r="D54" s="10"/>
      <c r="E54" s="3" t="s">
        <v>29</v>
      </c>
      <c r="F54" s="10"/>
      <c r="G54" s="10"/>
    </row>
    <row r="55" spans="1:7" ht="36" x14ac:dyDescent="0.55000000000000004">
      <c r="A55" s="2"/>
      <c r="B55" s="10"/>
      <c r="C55" s="10"/>
      <c r="D55" s="10"/>
      <c r="E55" s="3" t="s">
        <v>30</v>
      </c>
      <c r="F55" s="10"/>
      <c r="G55" s="10"/>
    </row>
    <row r="56" spans="1:7" ht="36" x14ac:dyDescent="0.55000000000000004">
      <c r="A56" s="2"/>
      <c r="B56" s="10"/>
      <c r="C56" s="10"/>
      <c r="D56" s="10"/>
      <c r="E56" s="3" t="s">
        <v>31</v>
      </c>
      <c r="F56" s="10"/>
      <c r="G56" s="10"/>
    </row>
    <row r="57" spans="1:7" ht="36" x14ac:dyDescent="0.55000000000000004">
      <c r="A57" s="2"/>
      <c r="B57" s="10"/>
      <c r="C57" s="10"/>
      <c r="D57" s="10"/>
      <c r="E57" s="3" t="s">
        <v>32</v>
      </c>
      <c r="F57" s="10"/>
      <c r="G57" s="10"/>
    </row>
    <row r="58" spans="1:7" ht="36" x14ac:dyDescent="0.55000000000000004">
      <c r="A58" s="2"/>
      <c r="B58" s="10"/>
      <c r="C58" s="10"/>
      <c r="D58" s="10"/>
      <c r="E58" s="3" t="s">
        <v>33</v>
      </c>
      <c r="F58" s="10"/>
      <c r="G58" s="10"/>
    </row>
    <row r="59" spans="1:7" ht="36" x14ac:dyDescent="0.55000000000000004">
      <c r="A59" s="2"/>
      <c r="B59" s="10"/>
      <c r="C59" s="10"/>
      <c r="D59" s="10"/>
      <c r="E59" s="3" t="s">
        <v>34</v>
      </c>
      <c r="F59" s="10"/>
      <c r="G59" s="10"/>
    </row>
    <row r="60" spans="1:7" ht="36" x14ac:dyDescent="0.55000000000000004">
      <c r="A60" s="2"/>
      <c r="B60" s="10"/>
      <c r="C60" s="10"/>
      <c r="D60" s="10"/>
      <c r="E60" s="3" t="s">
        <v>35</v>
      </c>
      <c r="F60" s="10"/>
      <c r="G60" s="10"/>
    </row>
    <row r="61" spans="1:7" ht="36" x14ac:dyDescent="0.55000000000000004">
      <c r="A61" s="2"/>
      <c r="B61" s="10"/>
      <c r="C61" s="10"/>
      <c r="D61" s="10"/>
      <c r="E61" s="3" t="s">
        <v>36</v>
      </c>
      <c r="F61" s="10"/>
      <c r="G61" s="10"/>
    </row>
    <row r="62" spans="1:7" ht="36" x14ac:dyDescent="0.55000000000000004">
      <c r="A62" s="2"/>
      <c r="B62" s="10"/>
      <c r="C62" s="10"/>
      <c r="D62" s="10"/>
      <c r="E62" s="3" t="s">
        <v>37</v>
      </c>
      <c r="F62" s="10"/>
      <c r="G62" s="10"/>
    </row>
    <row r="63" spans="1:7" ht="36" x14ac:dyDescent="0.55000000000000004">
      <c r="A63" s="2"/>
      <c r="B63" s="10"/>
      <c r="C63" s="10"/>
      <c r="D63" s="10"/>
      <c r="E63" s="3" t="s">
        <v>38</v>
      </c>
      <c r="F63" s="10"/>
      <c r="G63" s="10"/>
    </row>
    <row r="64" spans="1:7" ht="36" x14ac:dyDescent="0.55000000000000004">
      <c r="A64" s="2"/>
      <c r="B64" s="10"/>
      <c r="C64" s="10"/>
      <c r="D64" s="10"/>
      <c r="E64" s="3" t="s">
        <v>39</v>
      </c>
      <c r="F64" s="10"/>
      <c r="G64" s="10"/>
    </row>
    <row r="65" spans="1:7" ht="36" x14ac:dyDescent="0.55000000000000004">
      <c r="A65" s="2"/>
      <c r="B65" s="10"/>
      <c r="C65" s="10"/>
      <c r="D65" s="10"/>
      <c r="E65" s="3" t="s">
        <v>40</v>
      </c>
      <c r="F65" s="10"/>
      <c r="G65" s="10"/>
    </row>
    <row r="66" spans="1:7" ht="36" x14ac:dyDescent="0.55000000000000004">
      <c r="A66" s="2"/>
      <c r="B66" s="10"/>
      <c r="C66" s="10"/>
      <c r="D66" s="10"/>
      <c r="E66" s="3" t="s">
        <v>41</v>
      </c>
      <c r="F66" s="10"/>
      <c r="G66" s="10"/>
    </row>
    <row r="67" spans="1:7" ht="36" x14ac:dyDescent="0.55000000000000004">
      <c r="A67" s="2"/>
      <c r="B67" s="10"/>
      <c r="C67" s="10"/>
      <c r="D67" s="10"/>
      <c r="E67" s="3" t="s">
        <v>42</v>
      </c>
      <c r="F67" s="10"/>
      <c r="G67" s="10"/>
    </row>
    <row r="68" spans="1:7" ht="36" x14ac:dyDescent="0.55000000000000004">
      <c r="A68" s="2"/>
      <c r="B68" s="10"/>
      <c r="C68" s="10"/>
      <c r="D68" s="10"/>
      <c r="E68" s="3" t="s">
        <v>43</v>
      </c>
      <c r="F68" s="10"/>
      <c r="G68" s="10"/>
    </row>
    <row r="69" spans="1:7" ht="36" x14ac:dyDescent="0.55000000000000004">
      <c r="A69" s="2"/>
      <c r="B69" s="10"/>
      <c r="C69" s="10"/>
      <c r="D69" s="10"/>
      <c r="E69" s="3" t="s">
        <v>44</v>
      </c>
      <c r="F69" s="10"/>
      <c r="G69" s="10"/>
    </row>
    <row r="70" spans="1:7" ht="36" x14ac:dyDescent="0.55000000000000004">
      <c r="A70" s="2"/>
      <c r="B70" s="10"/>
      <c r="C70" s="10"/>
      <c r="D70" s="10"/>
      <c r="E70" s="3" t="s">
        <v>45</v>
      </c>
      <c r="F70" s="10"/>
      <c r="G70" s="10"/>
    </row>
    <row r="71" spans="1:7" ht="36" x14ac:dyDescent="0.55000000000000004">
      <c r="A71" s="2"/>
      <c r="B71" s="10"/>
      <c r="C71" s="10"/>
      <c r="D71" s="10"/>
      <c r="E71" s="3" t="s">
        <v>46</v>
      </c>
      <c r="F71" s="10"/>
      <c r="G71" s="10"/>
    </row>
    <row r="72" spans="1:7" ht="36" x14ac:dyDescent="0.55000000000000004">
      <c r="A72" s="2"/>
      <c r="B72" s="10"/>
      <c r="C72" s="10"/>
      <c r="D72" s="10"/>
      <c r="E72" s="3" t="s">
        <v>47</v>
      </c>
      <c r="F72" s="10"/>
      <c r="G72" s="10"/>
    </row>
    <row r="73" spans="1:7" ht="36" x14ac:dyDescent="0.55000000000000004">
      <c r="A73" s="2"/>
      <c r="B73" s="10"/>
      <c r="C73" s="10"/>
      <c r="D73" s="10"/>
      <c r="E73" s="3" t="s">
        <v>48</v>
      </c>
      <c r="F73" s="10"/>
      <c r="G73" s="10"/>
    </row>
    <row r="74" spans="1:7" ht="36" x14ac:dyDescent="0.55000000000000004">
      <c r="A74" s="2"/>
      <c r="B74" s="10"/>
      <c r="C74" s="10"/>
      <c r="D74" s="10"/>
      <c r="E74" s="3" t="s">
        <v>49</v>
      </c>
      <c r="F74" s="10"/>
      <c r="G74" s="10"/>
    </row>
    <row r="75" spans="1:7" ht="36" x14ac:dyDescent="0.55000000000000004">
      <c r="A75" s="2"/>
      <c r="B75" s="10"/>
      <c r="C75" s="10"/>
      <c r="D75" s="10"/>
      <c r="E75" s="3" t="s">
        <v>50</v>
      </c>
      <c r="F75" s="10"/>
      <c r="G75" s="10"/>
    </row>
    <row r="76" spans="1:7" ht="36" x14ac:dyDescent="0.55000000000000004">
      <c r="A76" s="2"/>
      <c r="B76" s="10"/>
      <c r="C76" s="10"/>
      <c r="D76" s="10"/>
      <c r="E76" s="3" t="s">
        <v>51</v>
      </c>
      <c r="F76" s="10"/>
      <c r="G76" s="10"/>
    </row>
    <row r="77" spans="1:7" ht="36" x14ac:dyDescent="0.55000000000000004">
      <c r="A77" s="2"/>
      <c r="B77" s="10"/>
      <c r="C77" s="10"/>
      <c r="D77" s="10"/>
      <c r="E77" s="3" t="s">
        <v>52</v>
      </c>
      <c r="F77" s="10"/>
      <c r="G77" s="10"/>
    </row>
    <row r="78" spans="1:7" ht="36" x14ac:dyDescent="0.55000000000000004">
      <c r="A78" s="2"/>
      <c r="B78" s="10"/>
      <c r="C78" s="10"/>
      <c r="D78" s="10"/>
      <c r="E78" s="3" t="s">
        <v>53</v>
      </c>
      <c r="F78" s="10"/>
      <c r="G78" s="10"/>
    </row>
    <row r="79" spans="1:7" ht="36" x14ac:dyDescent="0.55000000000000004">
      <c r="A79" s="2"/>
      <c r="B79" s="10"/>
      <c r="C79" s="10"/>
      <c r="D79" s="10"/>
      <c r="E79" s="3" t="s">
        <v>54</v>
      </c>
      <c r="F79" s="10"/>
      <c r="G79" s="10"/>
    </row>
    <row r="80" spans="1:7" ht="36" x14ac:dyDescent="0.55000000000000004">
      <c r="A80" s="2"/>
      <c r="B80" s="10"/>
      <c r="C80" s="10"/>
      <c r="D80" s="10"/>
      <c r="E80" s="3" t="s">
        <v>55</v>
      </c>
      <c r="F80" s="10"/>
      <c r="G80" s="10"/>
    </row>
    <row r="81" spans="1:7" ht="36" x14ac:dyDescent="0.55000000000000004">
      <c r="A81" s="2"/>
      <c r="B81" s="10"/>
      <c r="C81" s="10"/>
      <c r="D81" s="10"/>
      <c r="E81" s="3" t="s">
        <v>56</v>
      </c>
      <c r="F81" s="10"/>
      <c r="G81" s="10"/>
    </row>
    <row r="82" spans="1:7" ht="36" x14ac:dyDescent="0.55000000000000004">
      <c r="A82" s="2"/>
      <c r="B82" s="10"/>
      <c r="C82" s="10"/>
      <c r="D82" s="10"/>
      <c r="E82" s="3" t="s">
        <v>57</v>
      </c>
      <c r="F82" s="10"/>
      <c r="G82" s="10"/>
    </row>
    <row r="83" spans="1:7" ht="36" x14ac:dyDescent="0.55000000000000004">
      <c r="A83" s="2"/>
      <c r="B83" s="10"/>
      <c r="C83" s="10"/>
      <c r="D83" s="10"/>
      <c r="E83" s="3" t="s">
        <v>58</v>
      </c>
      <c r="F83" s="10"/>
      <c r="G83" s="10"/>
    </row>
    <row r="84" spans="1:7" ht="36" x14ac:dyDescent="0.55000000000000004">
      <c r="A84" s="2"/>
      <c r="B84" s="10"/>
      <c r="C84" s="10"/>
      <c r="D84" s="10"/>
      <c r="E84" s="3" t="s">
        <v>59</v>
      </c>
      <c r="F84" s="10"/>
      <c r="G84" s="10"/>
    </row>
    <row r="85" spans="1:7" ht="36" x14ac:dyDescent="0.55000000000000004">
      <c r="A85" s="2"/>
      <c r="B85" s="10"/>
      <c r="C85" s="10"/>
      <c r="D85" s="10"/>
      <c r="E85" s="3" t="s">
        <v>60</v>
      </c>
      <c r="F85" s="10"/>
      <c r="G85" s="10"/>
    </row>
    <row r="86" spans="1:7" ht="36" x14ac:dyDescent="0.55000000000000004">
      <c r="A86" s="2"/>
      <c r="B86" s="10"/>
      <c r="C86" s="10"/>
      <c r="D86" s="10"/>
      <c r="E86" s="3" t="s">
        <v>61</v>
      </c>
      <c r="F86" s="10"/>
      <c r="G86" s="10"/>
    </row>
  </sheetData>
  <sheetProtection password="8E71" sheet="1" objects="1" scenarios="1" selectLockedCells="1"/>
  <mergeCells count="4">
    <mergeCell ref="B1:D1"/>
    <mergeCell ref="C16:D16"/>
    <mergeCell ref="C17:D17"/>
    <mergeCell ref="A19:D19"/>
  </mergeCells>
  <conditionalFormatting sqref="F3:F10 D3:D11">
    <cfRule type="containsText" dxfId="14" priority="1" stopIfTrue="1" operator="containsText" text="ERROR">
      <formula>NOT(ISERROR(SEARCH("ERROR",D3)))</formula>
    </cfRule>
  </conditionalFormatting>
  <conditionalFormatting sqref="D14 F14 F3:F11 D3:D11">
    <cfRule type="cellIs" dxfId="13" priority="4" stopIfTrue="1" operator="equal">
      <formula>0</formula>
    </cfRule>
    <cfRule type="cellIs" dxfId="12" priority="5" stopIfTrue="1" operator="equal">
      <formula>1</formula>
    </cfRule>
    <cfRule type="cellIs" dxfId="11" priority="6" stopIfTrue="1" operator="equal">
      <formula>2</formula>
    </cfRule>
  </conditionalFormatting>
  <conditionalFormatting sqref="F3:F5">
    <cfRule type="containsText" dxfId="10" priority="2" stopIfTrue="1" operator="containsText" text="ERROR">
      <formula>NOT(ISERROR(SEARCH("ERROR",F3)))</formula>
    </cfRule>
    <cfRule type="expression" dxfId="9" priority="3" stopIfTrue="1">
      <formula>"$C$3=""ERROR"""</formula>
    </cfRule>
  </conditionalFormatting>
  <dataValidations count="5">
    <dataValidation allowBlank="1" showInputMessage="1" showErrorMessage="1" prompt="Enter:_x000a_ 0-100%, N/A, No Data, or Not Valid and Reliable_x000a_" sqref="B3:B10"/>
    <dataValidation type="list" allowBlank="1" showInputMessage="1" showErrorMessage="1" sqref="A1">
      <formula1>$E$25:$E$86</formula1>
    </dataValidation>
    <dataValidation type="list" allowBlank="1" showInputMessage="1" showErrorMessage="1" sqref="B13">
      <formula1>"NONE, YES 2 TO 4 YRS, YES 5 OR MORE YRS"</formula1>
    </dataValidation>
    <dataValidation type="list" allowBlank="1" showInputMessage="1" showErrorMessage="1" sqref="C3:C7">
      <formula1>"Y, N, N/A"</formula1>
    </dataValidation>
    <dataValidation type="list" allowBlank="1" showInputMessage="1" showErrorMessage="1" sqref="B12">
      <formula1>"NONE, YES 1 OR 2 YRS, YES 3 OR MORE YRS"</formula1>
    </dataValidation>
  </dataValidations>
  <hyperlinks>
    <hyperlink ref="A19:D19" r:id="rId1" location="communities/pdc/documents/4604" display="1. The complete language for each indicator is located in the Part C Indicator Measurement Table. https://osep.grads360.org/#communities/pdc/documents/4604"/>
  </hyperlinks>
  <pageMargins left="0.7" right="0.7" top="0.75" bottom="0.75" header="0.3" footer="0.3"/>
  <pageSetup scale="41" orientation="portrait" r:id="rId2"/>
  <headerFooter>
    <oddFooter>&amp;CDeliberative Document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showWhiteSpace="0" zoomScaleNormal="100" workbookViewId="0">
      <selection activeCell="B20" sqref="B20"/>
    </sheetView>
  </sheetViews>
  <sheetFormatPr defaultRowHeight="15" x14ac:dyDescent="0.25"/>
  <cols>
    <col min="1" max="1" width="31.140625" customWidth="1"/>
    <col min="2" max="2" width="15" customWidth="1"/>
    <col min="3" max="4" width="13.7109375" customWidth="1"/>
    <col min="5" max="8" width="13.85546875" customWidth="1"/>
  </cols>
  <sheetData>
    <row r="1" spans="1:13" x14ac:dyDescent="0.25">
      <c r="A1" s="10"/>
      <c r="B1" s="10"/>
      <c r="C1" s="10"/>
      <c r="D1" s="10"/>
      <c r="E1" s="10"/>
      <c r="F1" s="10"/>
      <c r="G1" s="10"/>
      <c r="H1" s="10"/>
      <c r="I1" s="10"/>
      <c r="J1" s="10"/>
      <c r="K1" s="10"/>
      <c r="L1" s="10"/>
      <c r="M1" s="10"/>
    </row>
    <row r="2" spans="1:13" x14ac:dyDescent="0.25">
      <c r="A2" s="10"/>
      <c r="B2" s="10"/>
      <c r="C2" s="10"/>
      <c r="D2" s="10"/>
      <c r="E2" s="10"/>
      <c r="F2" s="10"/>
      <c r="G2" s="10"/>
      <c r="H2" s="10"/>
      <c r="I2" s="10"/>
      <c r="J2" s="10"/>
      <c r="K2" s="10"/>
      <c r="L2" s="10"/>
      <c r="M2" s="10"/>
    </row>
    <row r="3" spans="1:13" x14ac:dyDescent="0.25">
      <c r="A3" s="10"/>
      <c r="B3" s="10"/>
      <c r="C3" s="10"/>
      <c r="D3" s="10"/>
      <c r="E3" s="10"/>
      <c r="F3" s="10"/>
      <c r="G3" s="10"/>
      <c r="H3" s="10"/>
      <c r="I3" s="10"/>
      <c r="J3" s="10"/>
      <c r="K3" s="10"/>
      <c r="L3" s="10"/>
      <c r="M3" s="10"/>
    </row>
    <row r="4" spans="1:13" s="10" customFormat="1" x14ac:dyDescent="0.25"/>
    <row r="5" spans="1:13" s="10" customFormat="1" x14ac:dyDescent="0.25"/>
    <row r="6" spans="1:13" s="10" customFormat="1" ht="5.25" customHeight="1" x14ac:dyDescent="0.25"/>
    <row r="7" spans="1:13" s="10" customFormat="1" ht="5.25" customHeight="1" x14ac:dyDescent="0.25"/>
    <row r="8" spans="1:13" s="10" customFormat="1" ht="5.25" customHeight="1" x14ac:dyDescent="0.25"/>
    <row r="9" spans="1:13" s="10" customFormat="1" ht="5.25" customHeight="1" x14ac:dyDescent="0.25"/>
    <row r="10" spans="1:13" s="10" customFormat="1" ht="27" customHeight="1" x14ac:dyDescent="0.25"/>
    <row r="11" spans="1:13" s="10" customFormat="1" ht="68.25" customHeight="1" x14ac:dyDescent="0.25"/>
    <row r="12" spans="1:13" s="144" customFormat="1" ht="36" customHeight="1" x14ac:dyDescent="0.3">
      <c r="A12" s="225" t="s">
        <v>217</v>
      </c>
      <c r="B12" s="364" t="s">
        <v>245</v>
      </c>
      <c r="C12" s="365"/>
      <c r="D12" s="365"/>
      <c r="E12" s="365"/>
      <c r="F12" s="366"/>
      <c r="G12" s="226"/>
    </row>
    <row r="13" spans="1:13" s="144" customFormat="1" ht="18.75" x14ac:dyDescent="0.3">
      <c r="A13" s="227">
        <v>0</v>
      </c>
      <c r="B13" s="367" t="s">
        <v>86</v>
      </c>
      <c r="C13" s="368"/>
      <c r="D13" s="368"/>
      <c r="E13" s="368"/>
      <c r="F13" s="369"/>
      <c r="G13" s="226"/>
    </row>
    <row r="14" spans="1:13" s="144" customFormat="1" ht="18.75" x14ac:dyDescent="0.3">
      <c r="A14" s="228">
        <v>1</v>
      </c>
      <c r="B14" s="367" t="s">
        <v>87</v>
      </c>
      <c r="C14" s="368"/>
      <c r="D14" s="368"/>
      <c r="E14" s="368"/>
      <c r="F14" s="369"/>
      <c r="G14" s="226"/>
    </row>
    <row r="15" spans="1:13" s="144" customFormat="1" ht="18.75" x14ac:dyDescent="0.3">
      <c r="A15" s="229">
        <v>2</v>
      </c>
      <c r="B15" s="367" t="s">
        <v>88</v>
      </c>
      <c r="C15" s="368"/>
      <c r="D15" s="368"/>
      <c r="E15" s="368"/>
      <c r="F15" s="369"/>
      <c r="G15" s="226"/>
    </row>
    <row r="17" spans="2:13" x14ac:dyDescent="0.25">
      <c r="B17" s="10"/>
      <c r="C17" s="10"/>
      <c r="D17" s="10"/>
      <c r="E17" s="10"/>
      <c r="F17" s="10"/>
      <c r="G17" s="10"/>
      <c r="H17" s="10"/>
      <c r="I17" s="10"/>
      <c r="J17" s="10"/>
      <c r="K17" s="10"/>
      <c r="L17" s="10"/>
      <c r="M17" s="10"/>
    </row>
    <row r="21" spans="2:13" s="10" customFormat="1" x14ac:dyDescent="0.25"/>
    <row r="22" spans="2:13" s="10" customFormat="1" ht="54.75" customHeight="1" x14ac:dyDescent="0.25"/>
    <row r="23" spans="2:13" s="10" customFormat="1" x14ac:dyDescent="0.25"/>
    <row r="27" spans="2:13" s="10" customFormat="1" x14ac:dyDescent="0.25"/>
    <row r="28" spans="2:13" s="10" customFormat="1" x14ac:dyDescent="0.25"/>
    <row r="29" spans="2:13" ht="26.25" customHeight="1" x14ac:dyDescent="0.25"/>
    <row r="33" spans="1:1" s="10" customFormat="1" x14ac:dyDescent="0.25"/>
    <row r="34" spans="1:1" s="10" customFormat="1" ht="59.25" customHeight="1" x14ac:dyDescent="0.25"/>
    <row r="35" spans="1:1" s="10" customFormat="1" ht="15" customHeight="1" x14ac:dyDescent="0.25"/>
    <row r="36" spans="1:1" s="10" customFormat="1" ht="23.25" customHeight="1" x14ac:dyDescent="0.25"/>
    <row r="37" spans="1:1" s="10" customFormat="1" ht="10.5" customHeight="1" x14ac:dyDescent="0.25"/>
    <row r="38" spans="1:1" s="10" customFormat="1" ht="15" customHeight="1" x14ac:dyDescent="0.25"/>
    <row r="39" spans="1:1" s="10" customFormat="1" ht="15" customHeight="1" x14ac:dyDescent="0.25"/>
    <row r="40" spans="1:1" s="10" customFormat="1" ht="15" customHeight="1" x14ac:dyDescent="0.25"/>
    <row r="41" spans="1:1" s="10" customFormat="1" ht="15" customHeight="1" x14ac:dyDescent="0.25"/>
    <row r="42" spans="1:1" s="10" customFormat="1" ht="15" customHeight="1" x14ac:dyDescent="0.25"/>
    <row r="43" spans="1:1" s="10" customFormat="1" ht="15" customHeight="1" x14ac:dyDescent="0.25"/>
    <row r="44" spans="1:1" s="10" customFormat="1" ht="15" customHeight="1" x14ac:dyDescent="0.25"/>
    <row r="45" spans="1:1" s="10" customFormat="1" ht="27" customHeight="1" x14ac:dyDescent="0.25"/>
    <row r="46" spans="1:1" ht="15" customHeight="1" x14ac:dyDescent="0.25">
      <c r="A46" s="10"/>
    </row>
    <row r="47" spans="1:1" ht="40.5" customHeight="1" x14ac:dyDescent="0.25">
      <c r="A47" s="10"/>
    </row>
    <row r="48" spans="1:1" x14ac:dyDescent="0.25">
      <c r="A48" s="10"/>
    </row>
    <row r="49" spans="1:1" x14ac:dyDescent="0.25">
      <c r="A49" s="10"/>
    </row>
    <row r="50" spans="1:1" ht="15" customHeight="1" x14ac:dyDescent="0.25">
      <c r="A50" s="10"/>
    </row>
    <row r="51" spans="1:1" ht="26.25" customHeight="1" x14ac:dyDescent="0.25">
      <c r="A51" s="10"/>
    </row>
    <row r="52" spans="1:1" s="10" customFormat="1" ht="26.25" customHeight="1" x14ac:dyDescent="0.25"/>
    <row r="53" spans="1:1" ht="20.25" customHeight="1" x14ac:dyDescent="0.25">
      <c r="A53" s="10"/>
    </row>
    <row r="54" spans="1:1" ht="20.25" customHeight="1" x14ac:dyDescent="0.25"/>
    <row r="55" spans="1:1" ht="20.25" customHeight="1" x14ac:dyDescent="0.25"/>
    <row r="56" spans="1:1" ht="57.75" customHeight="1" x14ac:dyDescent="0.25"/>
    <row r="57" spans="1:1" ht="18.75" customHeight="1" x14ac:dyDescent="0.25"/>
    <row r="61" spans="1:1" s="10" customFormat="1" x14ac:dyDescent="0.25"/>
    <row r="62" spans="1:1" s="131" customFormat="1" ht="23.25" customHeight="1" x14ac:dyDescent="0.25">
      <c r="A62" s="132"/>
    </row>
    <row r="63" spans="1:1" s="131" customFormat="1" ht="15" customHeight="1" x14ac:dyDescent="0.25">
      <c r="A63" s="132"/>
    </row>
    <row r="64" spans="1:1" s="131" customFormat="1" ht="15" customHeight="1" x14ac:dyDescent="0.25">
      <c r="A64" s="132"/>
    </row>
    <row r="65" spans="1:1" s="131" customFormat="1" ht="15" customHeight="1" x14ac:dyDescent="0.25">
      <c r="A65" s="132"/>
    </row>
    <row r="66" spans="1:1" s="131" customFormat="1" ht="15" customHeight="1" x14ac:dyDescent="0.25">
      <c r="A66" s="132"/>
    </row>
  </sheetData>
  <mergeCells count="4">
    <mergeCell ref="B12:F12"/>
    <mergeCell ref="B13:F13"/>
    <mergeCell ref="B14:F14"/>
    <mergeCell ref="B15:F15"/>
  </mergeCells>
  <pageMargins left="0.7" right="0.7" top="0.75" bottom="1.0565625000000001" header="0.3" footer="0.3"/>
  <pageSetup scale="6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O72"/>
  <sheetViews>
    <sheetView showGridLines="0" zoomScale="80" zoomScaleNormal="80" workbookViewId="0">
      <selection activeCell="D48" sqref="D48:F48"/>
    </sheetView>
  </sheetViews>
  <sheetFormatPr defaultRowHeight="15" x14ac:dyDescent="0.25"/>
  <cols>
    <col min="1" max="1" width="31.85546875" customWidth="1"/>
    <col min="2" max="5" width="23" customWidth="1"/>
    <col min="6" max="6" width="24" customWidth="1"/>
    <col min="7" max="15" width="0" hidden="1" customWidth="1"/>
  </cols>
  <sheetData>
    <row r="1" spans="1:6" s="10" customFormat="1" ht="57.75" customHeight="1" x14ac:dyDescent="0.25">
      <c r="A1" s="392" t="s">
        <v>285</v>
      </c>
      <c r="B1" s="392"/>
      <c r="C1" s="392"/>
      <c r="D1" s="392"/>
      <c r="E1" s="392"/>
      <c r="F1" s="392"/>
    </row>
    <row r="2" spans="1:6" s="10" customFormat="1" ht="294.75" customHeight="1" x14ac:dyDescent="0.25">
      <c r="A2" s="401" t="s">
        <v>286</v>
      </c>
      <c r="B2" s="401"/>
      <c r="C2" s="401"/>
      <c r="D2" s="401"/>
      <c r="E2" s="401"/>
      <c r="F2" s="401"/>
    </row>
    <row r="3" spans="1:6" s="245" customFormat="1" ht="22.5" customHeight="1" x14ac:dyDescent="0.25">
      <c r="A3" s="243" t="s">
        <v>246</v>
      </c>
      <c r="B3" s="370" t="s">
        <v>247</v>
      </c>
      <c r="C3" s="371"/>
      <c r="D3" s="244"/>
    </row>
    <row r="4" spans="1:6" s="245" customFormat="1" ht="22.5" customHeight="1" x14ac:dyDescent="0.25">
      <c r="A4" s="243" t="s">
        <v>248</v>
      </c>
      <c r="B4" s="370" t="s">
        <v>249</v>
      </c>
      <c r="C4" s="371"/>
      <c r="D4" s="244"/>
    </row>
    <row r="5" spans="1:6" s="245" customFormat="1" ht="22.5" customHeight="1" x14ac:dyDescent="0.25">
      <c r="A5" s="243" t="s">
        <v>250</v>
      </c>
      <c r="B5" s="370" t="s">
        <v>251</v>
      </c>
      <c r="C5" s="371"/>
      <c r="D5" s="244"/>
    </row>
    <row r="6" spans="1:6" s="245" customFormat="1" ht="15" customHeight="1" x14ac:dyDescent="0.25">
      <c r="A6" s="395"/>
      <c r="B6" s="396"/>
      <c r="C6" s="396"/>
      <c r="D6" s="397"/>
      <c r="E6" s="397"/>
      <c r="F6" s="397"/>
    </row>
    <row r="7" spans="1:6" s="245" customFormat="1" ht="42" customHeight="1" x14ac:dyDescent="0.25">
      <c r="A7" s="247" t="s">
        <v>75</v>
      </c>
      <c r="B7" s="370" t="s">
        <v>252</v>
      </c>
      <c r="C7" s="371"/>
      <c r="D7" s="371"/>
      <c r="E7" s="371"/>
      <c r="F7" s="372"/>
    </row>
    <row r="8" spans="1:6" s="245" customFormat="1" ht="38.25" customHeight="1" x14ac:dyDescent="0.25">
      <c r="A8" s="247" t="s">
        <v>76</v>
      </c>
      <c r="B8" s="370" t="s">
        <v>253</v>
      </c>
      <c r="C8" s="371"/>
      <c r="D8" s="371"/>
      <c r="E8" s="371"/>
      <c r="F8" s="372"/>
    </row>
    <row r="9" spans="1:6" s="245" customFormat="1" ht="38.25" customHeight="1" x14ac:dyDescent="0.25">
      <c r="A9" s="247" t="s">
        <v>77</v>
      </c>
      <c r="B9" s="370" t="s">
        <v>254</v>
      </c>
      <c r="C9" s="371"/>
      <c r="D9" s="371"/>
      <c r="E9" s="371"/>
      <c r="F9" s="372"/>
    </row>
    <row r="10" spans="1:6" s="245" customFormat="1" ht="38.25" customHeight="1" x14ac:dyDescent="0.25">
      <c r="A10" s="247" t="s">
        <v>89</v>
      </c>
      <c r="B10" s="370" t="s">
        <v>255</v>
      </c>
      <c r="C10" s="371"/>
      <c r="D10" s="371"/>
      <c r="E10" s="371"/>
      <c r="F10" s="372"/>
    </row>
    <row r="11" spans="1:6" s="245" customFormat="1" ht="38.25" customHeight="1" x14ac:dyDescent="0.25">
      <c r="A11" s="247" t="s">
        <v>79</v>
      </c>
      <c r="B11" s="370" t="s">
        <v>256</v>
      </c>
      <c r="C11" s="371"/>
      <c r="D11" s="371"/>
      <c r="E11" s="371"/>
      <c r="F11" s="372"/>
    </row>
    <row r="12" spans="1:6" s="245" customFormat="1" ht="18.75" customHeight="1" x14ac:dyDescent="0.25">
      <c r="A12" s="248"/>
      <c r="B12" s="249"/>
      <c r="C12" s="249"/>
      <c r="D12" s="246"/>
      <c r="E12" s="246"/>
      <c r="F12" s="246"/>
    </row>
    <row r="13" spans="1:6" s="10" customFormat="1" ht="18.75" customHeight="1" x14ac:dyDescent="0.25">
      <c r="A13" s="398" t="s">
        <v>257</v>
      </c>
      <c r="B13" s="399"/>
      <c r="C13" s="399"/>
      <c r="D13" s="399"/>
      <c r="E13" s="399"/>
      <c r="F13" s="400"/>
    </row>
    <row r="14" spans="1:6" s="10" customFormat="1" ht="18.75" customHeight="1" thickBot="1" x14ac:dyDescent="0.3">
      <c r="A14" s="250"/>
      <c r="B14" s="251"/>
      <c r="C14" s="251"/>
      <c r="D14" s="251"/>
      <c r="E14" s="251"/>
      <c r="F14" s="252"/>
    </row>
    <row r="15" spans="1:6" s="10" customFormat="1" ht="20.25" thickTop="1" thickBot="1" x14ac:dyDescent="0.35">
      <c r="A15" s="253" t="s">
        <v>268</v>
      </c>
      <c r="B15" s="254" t="s">
        <v>269</v>
      </c>
      <c r="C15" s="254" t="s">
        <v>270</v>
      </c>
      <c r="D15" s="254" t="s">
        <v>271</v>
      </c>
      <c r="E15" s="254" t="str">
        <f>"-1SD"</f>
        <v>-1SD</v>
      </c>
      <c r="F15" s="254" t="str">
        <f>"+1SD"</f>
        <v>+1SD</v>
      </c>
    </row>
    <row r="16" spans="1:6" s="10" customFormat="1" ht="19.5" thickTop="1" x14ac:dyDescent="0.25">
      <c r="A16" s="255" t="s">
        <v>246</v>
      </c>
      <c r="B16" s="256" t="s">
        <v>272</v>
      </c>
      <c r="C16" s="257">
        <v>0.03</v>
      </c>
      <c r="D16" s="257">
        <v>0.06</v>
      </c>
      <c r="E16" s="257">
        <v>-0.03</v>
      </c>
      <c r="F16" s="257">
        <v>0.08</v>
      </c>
    </row>
    <row r="17" spans="1:6" s="10" customFormat="1" ht="18.75" x14ac:dyDescent="0.25">
      <c r="A17" s="145" t="s">
        <v>248</v>
      </c>
      <c r="B17" s="145" t="s">
        <v>272</v>
      </c>
      <c r="C17" s="258">
        <v>0.02</v>
      </c>
      <c r="D17" s="258">
        <v>0.06</v>
      </c>
      <c r="E17" s="258">
        <v>-0.04</v>
      </c>
      <c r="F17" s="258">
        <v>0.08</v>
      </c>
    </row>
    <row r="18" spans="1:6" s="10" customFormat="1" ht="19.5" thickBot="1" x14ac:dyDescent="0.3">
      <c r="A18" s="259" t="s">
        <v>250</v>
      </c>
      <c r="B18" s="259" t="s">
        <v>272</v>
      </c>
      <c r="C18" s="260">
        <v>0.02</v>
      </c>
      <c r="D18" s="260">
        <v>0.06</v>
      </c>
      <c r="E18" s="260">
        <v>-0.04</v>
      </c>
      <c r="F18" s="260">
        <v>0.09</v>
      </c>
    </row>
    <row r="19" spans="1:6" s="245" customFormat="1" ht="18.75" customHeight="1" thickTop="1" x14ac:dyDescent="0.25">
      <c r="A19" s="248"/>
      <c r="B19" s="249"/>
      <c r="C19" s="249"/>
      <c r="D19" s="270"/>
      <c r="E19" s="270"/>
      <c r="F19" s="270"/>
    </row>
    <row r="20" spans="1:6" s="10" customFormat="1" ht="18.75" customHeight="1" x14ac:dyDescent="0.25">
      <c r="A20" s="398" t="s">
        <v>257</v>
      </c>
      <c r="B20" s="399"/>
      <c r="C20" s="399"/>
      <c r="D20" s="399"/>
      <c r="E20" s="399"/>
      <c r="F20" s="400"/>
    </row>
    <row r="21" spans="1:6" s="10" customFormat="1" ht="18.75" customHeight="1" thickBot="1" x14ac:dyDescent="0.3">
      <c r="A21" s="250"/>
      <c r="B21" s="251"/>
      <c r="C21" s="251"/>
      <c r="D21" s="251"/>
      <c r="E21" s="251"/>
      <c r="F21" s="252"/>
    </row>
    <row r="22" spans="1:6" s="10" customFormat="1" ht="20.25" thickTop="1" thickBot="1" x14ac:dyDescent="0.35">
      <c r="A22" s="253" t="s">
        <v>268</v>
      </c>
      <c r="B22" s="254" t="s">
        <v>269</v>
      </c>
      <c r="C22" s="254" t="s">
        <v>270</v>
      </c>
      <c r="D22" s="254" t="s">
        <v>271</v>
      </c>
      <c r="E22" s="254" t="str">
        <f>"-1SD"</f>
        <v>-1SD</v>
      </c>
      <c r="F22" s="254" t="str">
        <f>"+1SD"</f>
        <v>+1SD</v>
      </c>
    </row>
    <row r="23" spans="1:6" s="10" customFormat="1" ht="19.5" thickTop="1" x14ac:dyDescent="0.25">
      <c r="A23" s="255" t="s">
        <v>246</v>
      </c>
      <c r="B23" s="256" t="s">
        <v>272</v>
      </c>
      <c r="C23" s="257">
        <v>0.03</v>
      </c>
      <c r="D23" s="257">
        <v>0.06</v>
      </c>
      <c r="E23" s="257">
        <v>-0.03</v>
      </c>
      <c r="F23" s="257">
        <v>0.08</v>
      </c>
    </row>
    <row r="24" spans="1:6" s="10" customFormat="1" ht="18.75" x14ac:dyDescent="0.25">
      <c r="A24" s="145" t="s">
        <v>248</v>
      </c>
      <c r="B24" s="145" t="s">
        <v>272</v>
      </c>
      <c r="C24" s="258">
        <v>0.02</v>
      </c>
      <c r="D24" s="258">
        <v>0.06</v>
      </c>
      <c r="E24" s="258">
        <v>-0.04</v>
      </c>
      <c r="F24" s="258">
        <v>0.08</v>
      </c>
    </row>
    <row r="25" spans="1:6" s="10" customFormat="1" ht="19.5" thickBot="1" x14ac:dyDescent="0.3">
      <c r="A25" s="259" t="s">
        <v>250</v>
      </c>
      <c r="B25" s="259" t="s">
        <v>272</v>
      </c>
      <c r="C25" s="260">
        <v>0.02</v>
      </c>
      <c r="D25" s="260">
        <v>0.06</v>
      </c>
      <c r="E25" s="260">
        <v>-0.04</v>
      </c>
      <c r="F25" s="260">
        <v>0.09</v>
      </c>
    </row>
    <row r="26" spans="1:6" s="10" customFormat="1" ht="20.25" thickTop="1" thickBot="1" x14ac:dyDescent="0.3">
      <c r="A26" s="261"/>
      <c r="B26" s="262"/>
      <c r="C26" s="263"/>
      <c r="D26" s="263"/>
      <c r="E26" s="263"/>
      <c r="F26" s="263"/>
    </row>
    <row r="27" spans="1:6" s="10" customFormat="1" ht="20.25" thickTop="1" thickBot="1" x14ac:dyDescent="0.35">
      <c r="A27" s="264" t="s">
        <v>273</v>
      </c>
      <c r="B27" s="265" t="s">
        <v>269</v>
      </c>
      <c r="C27" s="266" t="s">
        <v>270</v>
      </c>
      <c r="D27" s="266" t="s">
        <v>271</v>
      </c>
      <c r="E27" s="254" t="str">
        <f>"-2SD"</f>
        <v>-2SD</v>
      </c>
      <c r="F27" s="254" t="str">
        <f>"+2SD"</f>
        <v>+2SD</v>
      </c>
    </row>
    <row r="28" spans="1:6" s="10" customFormat="1" ht="19.5" thickTop="1" x14ac:dyDescent="0.25">
      <c r="A28" s="402" t="s">
        <v>246</v>
      </c>
      <c r="B28" s="255" t="s">
        <v>274</v>
      </c>
      <c r="C28" s="267">
        <v>0.2</v>
      </c>
      <c r="D28" s="267">
        <v>0.08</v>
      </c>
      <c r="E28" s="267">
        <v>0.04</v>
      </c>
      <c r="F28" s="267">
        <v>0.36</v>
      </c>
    </row>
    <row r="29" spans="1:6" s="10" customFormat="1" ht="18.75" x14ac:dyDescent="0.25">
      <c r="A29" s="402"/>
      <c r="B29" s="145" t="s">
        <v>275</v>
      </c>
      <c r="C29" s="258">
        <v>0.18</v>
      </c>
      <c r="D29" s="258">
        <v>0.11</v>
      </c>
      <c r="E29" s="258">
        <v>-0.04</v>
      </c>
      <c r="F29" s="258">
        <v>0.4</v>
      </c>
    </row>
    <row r="30" spans="1:6" s="10" customFormat="1" ht="18.75" x14ac:dyDescent="0.25">
      <c r="A30" s="402"/>
      <c r="B30" s="255" t="s">
        <v>276</v>
      </c>
      <c r="C30" s="267">
        <v>0.28000000000000003</v>
      </c>
      <c r="D30" s="267">
        <v>0.11</v>
      </c>
      <c r="E30" s="267">
        <v>0.06</v>
      </c>
      <c r="F30" s="267">
        <v>0.5</v>
      </c>
    </row>
    <row r="31" spans="1:6" s="10" customFormat="1" ht="19.5" thickBot="1" x14ac:dyDescent="0.3">
      <c r="A31" s="403"/>
      <c r="B31" s="259" t="s">
        <v>277</v>
      </c>
      <c r="C31" s="260">
        <v>0.31</v>
      </c>
      <c r="D31" s="260">
        <v>0.16</v>
      </c>
      <c r="E31" s="260">
        <v>-0.01</v>
      </c>
      <c r="F31" s="260">
        <v>0.63</v>
      </c>
    </row>
    <row r="32" spans="1:6" s="10" customFormat="1" ht="19.5" thickTop="1" x14ac:dyDescent="0.25">
      <c r="A32" s="404" t="s">
        <v>248</v>
      </c>
      <c r="B32" s="255" t="s">
        <v>274</v>
      </c>
      <c r="C32" s="267">
        <v>0.22</v>
      </c>
      <c r="D32" s="267">
        <v>0.1</v>
      </c>
      <c r="E32" s="267">
        <v>0.01</v>
      </c>
      <c r="F32" s="267">
        <v>0.42</v>
      </c>
    </row>
    <row r="33" spans="1:6" s="10" customFormat="1" ht="18.75" x14ac:dyDescent="0.25">
      <c r="A33" s="402"/>
      <c r="B33" s="145" t="s">
        <v>275</v>
      </c>
      <c r="C33" s="258">
        <v>0.26</v>
      </c>
      <c r="D33" s="258">
        <v>0.11</v>
      </c>
      <c r="E33" s="258">
        <v>0.04</v>
      </c>
      <c r="F33" s="258">
        <v>0.47</v>
      </c>
    </row>
    <row r="34" spans="1:6" s="10" customFormat="1" ht="18.75" x14ac:dyDescent="0.25">
      <c r="A34" s="402"/>
      <c r="B34" s="271" t="s">
        <v>276</v>
      </c>
      <c r="C34" s="272">
        <v>0.34</v>
      </c>
      <c r="D34" s="272">
        <v>0.1</v>
      </c>
      <c r="E34" s="272">
        <v>0.14000000000000001</v>
      </c>
      <c r="F34" s="272">
        <v>0.54</v>
      </c>
    </row>
    <row r="35" spans="1:6" s="10" customFormat="1" ht="19.5" thickBot="1" x14ac:dyDescent="0.3">
      <c r="A35" s="269"/>
      <c r="B35" s="259" t="s">
        <v>277</v>
      </c>
      <c r="C35" s="260">
        <v>0.17</v>
      </c>
      <c r="D35" s="260">
        <v>0.11</v>
      </c>
      <c r="E35" s="260">
        <v>-0.05</v>
      </c>
      <c r="F35" s="260">
        <v>0.38</v>
      </c>
    </row>
    <row r="36" spans="1:6" s="10" customFormat="1" ht="19.5" thickTop="1" x14ac:dyDescent="0.25">
      <c r="A36" s="404" t="s">
        <v>250</v>
      </c>
      <c r="B36" s="255" t="s">
        <v>274</v>
      </c>
      <c r="C36" s="267">
        <v>0.18</v>
      </c>
      <c r="D36" s="267">
        <v>0.08</v>
      </c>
      <c r="E36" s="267">
        <v>0.02</v>
      </c>
      <c r="F36" s="267">
        <v>0.34</v>
      </c>
    </row>
    <row r="37" spans="1:6" s="10" customFormat="1" ht="18.75" x14ac:dyDescent="0.25">
      <c r="A37" s="402"/>
      <c r="B37" s="145" t="s">
        <v>275</v>
      </c>
      <c r="C37" s="258">
        <v>0.21</v>
      </c>
      <c r="D37" s="258">
        <v>0.12</v>
      </c>
      <c r="E37" s="258">
        <v>-0.03</v>
      </c>
      <c r="F37" s="258">
        <v>0.13</v>
      </c>
    </row>
    <row r="38" spans="1:6" s="10" customFormat="1" ht="18.75" x14ac:dyDescent="0.25">
      <c r="A38" s="402"/>
      <c r="B38" s="145" t="s">
        <v>276</v>
      </c>
      <c r="C38" s="258">
        <v>0.35</v>
      </c>
      <c r="D38" s="258">
        <v>0.11</v>
      </c>
      <c r="E38" s="258">
        <v>0.13</v>
      </c>
      <c r="F38" s="258">
        <v>0.56999999999999995</v>
      </c>
    </row>
    <row r="39" spans="1:6" s="10" customFormat="1" ht="19.5" thickBot="1" x14ac:dyDescent="0.3">
      <c r="A39" s="403"/>
      <c r="B39" s="259" t="s">
        <v>277</v>
      </c>
      <c r="C39" s="260">
        <v>0.23</v>
      </c>
      <c r="D39" s="260">
        <v>0.15</v>
      </c>
      <c r="E39" s="260">
        <v>-0.06</v>
      </c>
      <c r="F39" s="260">
        <v>0.53</v>
      </c>
    </row>
    <row r="40" spans="1:6" s="10" customFormat="1" ht="19.5" thickTop="1" x14ac:dyDescent="0.25">
      <c r="A40" s="261"/>
      <c r="B40" s="262"/>
      <c r="C40" s="263"/>
      <c r="D40" s="263"/>
      <c r="E40" s="263"/>
      <c r="F40" s="263"/>
    </row>
    <row r="41" spans="1:6" s="10" customFormat="1" ht="18.75" x14ac:dyDescent="0.3">
      <c r="A41" s="268"/>
      <c r="B41" s="237"/>
      <c r="C41" s="237"/>
      <c r="D41" s="237"/>
      <c r="E41" s="237"/>
      <c r="F41" s="242"/>
    </row>
    <row r="42" spans="1:6" s="10" customFormat="1" ht="18.75" x14ac:dyDescent="0.3">
      <c r="A42" s="145" t="s">
        <v>216</v>
      </c>
      <c r="B42" s="378" t="s">
        <v>218</v>
      </c>
      <c r="C42" s="379"/>
      <c r="D42" s="379"/>
      <c r="E42" s="380"/>
      <c r="F42" s="144"/>
    </row>
    <row r="43" spans="1:6" s="10" customFormat="1" ht="18.75" x14ac:dyDescent="0.3">
      <c r="A43" s="154">
        <v>0</v>
      </c>
      <c r="B43" s="200" t="s">
        <v>205</v>
      </c>
      <c r="C43" s="146"/>
      <c r="D43" s="146"/>
      <c r="E43" s="147"/>
      <c r="F43" s="144"/>
    </row>
    <row r="44" spans="1:6" s="10" customFormat="1" ht="18.75" x14ac:dyDescent="0.3">
      <c r="A44" s="155">
        <v>1</v>
      </c>
      <c r="B44" s="200" t="s">
        <v>206</v>
      </c>
      <c r="C44" s="146"/>
      <c r="D44" s="146"/>
      <c r="E44" s="147"/>
      <c r="F44" s="144"/>
    </row>
    <row r="45" spans="1:6" s="10" customFormat="1" ht="18.75" x14ac:dyDescent="0.3">
      <c r="A45" s="156">
        <v>2</v>
      </c>
      <c r="B45" s="200" t="s">
        <v>207</v>
      </c>
      <c r="C45" s="146"/>
      <c r="D45" s="146"/>
      <c r="E45" s="147"/>
      <c r="F45" s="144"/>
    </row>
    <row r="46" spans="1:6" s="10" customFormat="1" ht="19.5" thickBot="1" x14ac:dyDescent="0.35">
      <c r="A46" s="203"/>
      <c r="B46" s="202"/>
      <c r="C46" s="201"/>
      <c r="D46" s="201"/>
      <c r="E46" s="201"/>
      <c r="F46" s="144"/>
    </row>
    <row r="47" spans="1:6" s="10" customFormat="1" ht="54" customHeight="1" thickBot="1" x14ac:dyDescent="0.3">
      <c r="A47" s="389" t="s">
        <v>280</v>
      </c>
      <c r="B47" s="390"/>
      <c r="C47" s="390"/>
      <c r="D47" s="390"/>
      <c r="E47" s="390"/>
      <c r="F47" s="391"/>
    </row>
    <row r="48" spans="1:6" s="10" customFormat="1" ht="54" customHeight="1" thickBot="1" x14ac:dyDescent="0.3">
      <c r="A48" s="393" t="s">
        <v>204</v>
      </c>
      <c r="B48" s="394"/>
      <c r="C48" s="394"/>
      <c r="D48" s="376">
        <v>2426</v>
      </c>
      <c r="E48" s="376"/>
      <c r="F48" s="377"/>
    </row>
    <row r="49" spans="1:15" s="10" customFormat="1" ht="9.75" customHeight="1" thickBot="1" x14ac:dyDescent="0.3">
      <c r="A49" s="149"/>
      <c r="B49" s="149"/>
      <c r="C49" s="149"/>
      <c r="D49" s="150"/>
      <c r="E49" s="151"/>
      <c r="F49" s="151"/>
    </row>
    <row r="50" spans="1:15" s="10" customFormat="1" ht="36" customHeight="1" thickBot="1" x14ac:dyDescent="0.3">
      <c r="A50" s="13" t="s">
        <v>74</v>
      </c>
      <c r="B50" s="15" t="s">
        <v>75</v>
      </c>
      <c r="C50" s="15" t="s">
        <v>76</v>
      </c>
      <c r="D50" s="15" t="s">
        <v>77</v>
      </c>
      <c r="E50" s="15" t="s">
        <v>78</v>
      </c>
      <c r="F50" s="15" t="s">
        <v>79</v>
      </c>
    </row>
    <row r="51" spans="1:15" s="10" customFormat="1" ht="36" customHeight="1" thickBot="1" x14ac:dyDescent="0.3">
      <c r="A51" s="135" t="s">
        <v>201</v>
      </c>
      <c r="B51" s="231">
        <v>38</v>
      </c>
      <c r="C51" s="231">
        <v>448</v>
      </c>
      <c r="D51" s="231">
        <v>494</v>
      </c>
      <c r="E51" s="231">
        <v>805</v>
      </c>
      <c r="F51" s="231">
        <v>641</v>
      </c>
    </row>
    <row r="52" spans="1:15" s="10" customFormat="1" ht="36" customHeight="1" thickBot="1" x14ac:dyDescent="0.3">
      <c r="A52" s="135" t="s">
        <v>202</v>
      </c>
      <c r="B52" s="152">
        <f>B51/D48</f>
        <v>1.5663643858202802E-2</v>
      </c>
      <c r="C52" s="152">
        <f>C51/D48</f>
        <v>0.18466611706512778</v>
      </c>
      <c r="D52" s="152">
        <f>D51/D48</f>
        <v>0.20362737015663643</v>
      </c>
      <c r="E52" s="152">
        <f>E51/D48</f>
        <v>0.33182192910140146</v>
      </c>
      <c r="F52" s="152">
        <f>F51/D48</f>
        <v>0.26422093981863148</v>
      </c>
      <c r="J52" s="10">
        <f>IF(B52="N/A","N/A",IF(B52="Data Suppressed","*",IF(B52&lt;0%,"ERROR",IF(B52&gt;100%,"ERROR",IF(B52=0%,0,IF(B52&gt;5%,0,IF(B52&gt;=1%-4%,1,)))))))</f>
        <v>1</v>
      </c>
      <c r="K52" s="10">
        <f>IF(C52="N/A","N/A",IF(C52="Data Suppressed","*",IF(C52&lt;0%,"ERROR",IF(C52&gt;100%,"ERROR",IF(C52&lt;5%,0,IF(C52&gt;50%,0,IF(B52&gt;=4%-49%,1,)))))))</f>
        <v>1</v>
      </c>
      <c r="L52" s="10">
        <f>IF(D52="N/A","N/A",IF(D52="Data Suppressed","*",IF(D52&lt;0%,"ERROR",IF(D52&gt;100%,"ERROR",IF(D52&lt;5%,0,IF(D52&gt;50%,0,IF(D52&gt;=4%-49%,1,)))))))</f>
        <v>1</v>
      </c>
      <c r="M52" s="10">
        <f>IF(E52="N/A","N/A",IF(E52="Data Suppressed","*",IF(E52&lt;0%,"ERROR",IF(E52&gt;100%,"ERROR",IF(E52&lt;5%,0,IF(E52&gt;50%,0,IF(E52&gt;=4%-49%,1,)))))))</f>
        <v>1</v>
      </c>
      <c r="N52" s="10">
        <f>IF(F52="N/A","N/A",IF(F52="Data Suppressed","*",IF(F52&lt;0%,"ERROR",IF(F52&gt;100%,"ERROR",IF(F52&lt;5%,0,IF(F52&gt;65%,0,IF(F52&gt;=4%-64%,1,)))))))</f>
        <v>1</v>
      </c>
      <c r="O52" s="10">
        <f>SUM(J52:N52)</f>
        <v>5</v>
      </c>
    </row>
    <row r="53" spans="1:15" s="10" customFormat="1" ht="36" customHeight="1" thickBot="1" x14ac:dyDescent="0.3">
      <c r="A53" s="135" t="s">
        <v>258</v>
      </c>
      <c r="B53" s="139">
        <f>IF(B52="N/A","N/A",IF(B52="Data Suppressed","*",IF(B52&lt;0%,"ERROR",IF(B52&gt;100%,"ERROR",IF(B52&gt;8%,0,IF(B52&gt;=0%-8%,1,))))))</f>
        <v>1</v>
      </c>
      <c r="C53" s="139">
        <f>IF(C52="N/A","N/A",IF(C52="Data Suppressed","*",IF(C52&lt;0%,"ERROR",IF(C52&gt;100%,"ERROR",IF(C52&lt;4%,0,IF(C52&gt;36%,0,IF(C52&gt;=4%-36%,1,)))))))</f>
        <v>1</v>
      </c>
      <c r="D53" s="139">
        <f>IF(D52="N/A","N/A",IF(D52="Data Suppressed","*",IF(D52&lt;0%,"ERROR",IF(D52&gt;100%,"ERROR",IF(D52&gt;40%,0,IF(D52&gt;=0%-40%,1,))))))</f>
        <v>1</v>
      </c>
      <c r="E53" s="139">
        <f>IF(E52="N/A","N/A",IF(E52="Data Suppressed","*",IF(E52&lt;0%,"ERROR",IF(E52&gt;100%,"ERROR",IF(E52&lt;6%,0,IF(E52&gt;50%,0,IF(E52&gt;=6%-50%,1,)))))))</f>
        <v>1</v>
      </c>
      <c r="F53" s="139">
        <f>IF(F52="N/A","N/A",IF(F52="Data Suppressed","*",IF(F52&lt;0%,"ERROR",IF(F52&gt;100%,"ERROR",IF(F52&gt;63%,0,IF(F52&gt;=0%-63%,1,))))))</f>
        <v>1</v>
      </c>
      <c r="G53" s="10">
        <f>SUM(B53:F53)</f>
        <v>5</v>
      </c>
    </row>
    <row r="54" spans="1:15" s="10" customFormat="1" ht="44.25" customHeight="1" thickBot="1" x14ac:dyDescent="0.3">
      <c r="A54" s="383" t="s">
        <v>259</v>
      </c>
      <c r="B54" s="327"/>
      <c r="C54" s="381">
        <f>SUM(B53:F53)</f>
        <v>5</v>
      </c>
      <c r="D54" s="382"/>
      <c r="E54" s="148"/>
      <c r="F54" s="137"/>
    </row>
    <row r="55" spans="1:15" s="10" customFormat="1" ht="9.75" customHeight="1" thickBot="1" x14ac:dyDescent="0.3">
      <c r="A55" s="323"/>
      <c r="B55" s="324"/>
      <c r="C55" s="324"/>
      <c r="D55" s="324"/>
      <c r="E55" s="324"/>
      <c r="F55" s="325"/>
    </row>
    <row r="56" spans="1:15" s="10" customFormat="1" ht="36" customHeight="1" thickBot="1" x14ac:dyDescent="0.3">
      <c r="A56" s="13" t="s">
        <v>80</v>
      </c>
      <c r="B56" s="232" t="s">
        <v>75</v>
      </c>
      <c r="C56" s="15" t="s">
        <v>76</v>
      </c>
      <c r="D56" s="15" t="s">
        <v>77</v>
      </c>
      <c r="E56" s="15" t="s">
        <v>78</v>
      </c>
      <c r="F56" s="15" t="s">
        <v>79</v>
      </c>
    </row>
    <row r="57" spans="1:15" s="10" customFormat="1" ht="36" customHeight="1" thickBot="1" x14ac:dyDescent="0.3">
      <c r="A57" s="135" t="s">
        <v>201</v>
      </c>
      <c r="B57" s="234">
        <v>26</v>
      </c>
      <c r="C57" s="231">
        <v>348</v>
      </c>
      <c r="D57" s="231">
        <v>816</v>
      </c>
      <c r="E57" s="231">
        <v>978</v>
      </c>
      <c r="F57" s="231">
        <v>258</v>
      </c>
    </row>
    <row r="58" spans="1:15" s="10" customFormat="1" ht="36" customHeight="1" thickBot="1" x14ac:dyDescent="0.3">
      <c r="A58" s="135" t="s">
        <v>202</v>
      </c>
      <c r="B58" s="153">
        <f>B57/D48</f>
        <v>1.0717230008244023E-2</v>
      </c>
      <c r="C58" s="152">
        <f>C57/D48</f>
        <v>0.14344600164880461</v>
      </c>
      <c r="D58" s="152">
        <f>D57/D48</f>
        <v>0.33635614179719703</v>
      </c>
      <c r="E58" s="152">
        <f>E57/D48</f>
        <v>0.40313272877164058</v>
      </c>
      <c r="F58" s="152">
        <f>F57/D48</f>
        <v>0.10634789777411377</v>
      </c>
      <c r="J58" s="10">
        <f>IF(B58="N/A","N/A",IF(B58="Data Suppressed","*",IF(B58&lt;0%,"ERROR",IF(B58&gt;100%,"ERROR",IF(B58=0%,0,IF(B58&gt;5%,0,IF(B58&gt;=1%-4%,1,)))))))</f>
        <v>1</v>
      </c>
      <c r="K58" s="10">
        <f>IF(C58="N/A","N/A",IF(C58="Data Suppressed","*",IF(C58&lt;0%,"ERROR",IF(C58&gt;100%,"ERROR",IF(C58&lt;5%,0,IF(C58&gt;50%,0,IF(B58&gt;=4%-49%,1,)))))))</f>
        <v>1</v>
      </c>
      <c r="L58" s="10">
        <f>IF(D58="N/A","N/A",IF(D58="Data Suppressed","*",IF(D58&lt;0%,"ERROR",IF(D58&gt;100%,"ERROR",IF(D58&lt;5%,0,IF(D58&gt;50%,0,IF(D58&gt;=4%-49%,1,)))))))</f>
        <v>1</v>
      </c>
      <c r="M58" s="10">
        <f>IF(E58="N/A","N/A",IF(E58="Data Suppressed","*",IF(E58&lt;0%,"ERROR",IF(E58&gt;100%,"ERROR",IF(E58&lt;5%,0,IF(E58&gt;50%,0,IF(E58&gt;=4%-49%,1,)))))))</f>
        <v>1</v>
      </c>
      <c r="N58" s="10">
        <f>IF(F58="N/A","N/A",IF(F58="Data Suppressed","*",IF(F58&lt;0%,"ERROR",IF(F58&gt;100%,"ERROR",IF(F58&lt;5%,0,IF(F58&gt;65%,0,IF(F58&gt;=4%-64%,1,)))))))</f>
        <v>1</v>
      </c>
      <c r="O58" s="10">
        <f>SUM(J58:N58)</f>
        <v>5</v>
      </c>
    </row>
    <row r="59" spans="1:15" s="10" customFormat="1" ht="36" customHeight="1" thickBot="1" x14ac:dyDescent="0.3">
      <c r="A59" s="135" t="s">
        <v>258</v>
      </c>
      <c r="B59" s="140">
        <f>IF(B58="N/A","N/A",IF(B58="Data Suppressed","*",IF(B58&lt;0%,"ERROR",IF(B58&gt;100%,"ERROR",IF(B58&gt;8%,0,IF(B58&gt;=0%-8%,1,))))))</f>
        <v>1</v>
      </c>
      <c r="C59" s="140">
        <f>IF(C58="N/A","N/A",IF(C58="Data Suppressed","*",IF(C58&lt;0%,"ERROR",IF(C58&gt;100%,"ERROR",IF(C58&lt;1%,0,IF(C58&gt;42%,0,IF(C58&gt;=1%-42%,1,)))))))</f>
        <v>1</v>
      </c>
      <c r="D59" s="140">
        <f>IF(D58="N/A","N/A",IF(D58="Data Suppressed","*",IF(D58&lt;0%,"ERROR",IF(D58&gt;100%,"ERROR",IF(D58&lt;4%,0,IF(D58&gt;47%,0,IF(D58&gt;=4%-47%,1,)))))))</f>
        <v>1</v>
      </c>
      <c r="E59" s="140">
        <f>IF(E58="N/A","N/A",IF(E58="Data Suppressed","*",IF(E58&lt;0%,"ERROR",IF(E58&gt;100%,"ERROR",IF(E58&lt;14%,0,IF(E58&gt;54%,0,IF(E58&gt;=14%-54%,1,)))))))</f>
        <v>1</v>
      </c>
      <c r="F59" s="141">
        <f>IF(F58="N/A","N/A",IF(F58="Data Suppressed","*",IF(F58&lt;0%,"ERROR",IF(F58&gt;100%,"ERROR",IF(F58&gt;38%,0,IF(F58&gt;=0%-38%,1,))))))</f>
        <v>1</v>
      </c>
      <c r="G59" s="10">
        <f>SUM(B59:F59)</f>
        <v>5</v>
      </c>
    </row>
    <row r="60" spans="1:15" s="10" customFormat="1" ht="36" customHeight="1" thickBot="1" x14ac:dyDescent="0.3">
      <c r="A60" s="383" t="s">
        <v>260</v>
      </c>
      <c r="B60" s="326"/>
      <c r="C60" s="385">
        <f>SUM(B59:F59)</f>
        <v>5</v>
      </c>
      <c r="D60" s="385"/>
      <c r="E60" s="138"/>
      <c r="F60" s="137"/>
    </row>
    <row r="61" spans="1:15" s="10" customFormat="1" ht="9.75" customHeight="1" thickBot="1" x14ac:dyDescent="0.3">
      <c r="A61" s="323"/>
      <c r="B61" s="324"/>
      <c r="C61" s="324"/>
      <c r="D61" s="324"/>
      <c r="E61" s="324"/>
      <c r="F61" s="325"/>
    </row>
    <row r="62" spans="1:15" s="10" customFormat="1" ht="36" customHeight="1" thickBot="1" x14ac:dyDescent="0.3">
      <c r="A62" s="13" t="s">
        <v>82</v>
      </c>
      <c r="B62" s="232" t="s">
        <v>75</v>
      </c>
      <c r="C62" s="15" t="s">
        <v>76</v>
      </c>
      <c r="D62" s="15" t="s">
        <v>77</v>
      </c>
      <c r="E62" s="15" t="s">
        <v>78</v>
      </c>
      <c r="F62" s="15" t="s">
        <v>79</v>
      </c>
    </row>
    <row r="63" spans="1:15" s="10" customFormat="1" ht="36" customHeight="1" thickBot="1" x14ac:dyDescent="0.3">
      <c r="A63" s="136" t="s">
        <v>201</v>
      </c>
      <c r="B63" s="231">
        <v>25</v>
      </c>
      <c r="C63" s="231">
        <v>243</v>
      </c>
      <c r="D63" s="231">
        <v>410</v>
      </c>
      <c r="E63" s="231">
        <v>1116</v>
      </c>
      <c r="F63" s="231">
        <v>632</v>
      </c>
    </row>
    <row r="64" spans="1:15" s="10" customFormat="1" ht="36" customHeight="1" thickBot="1" x14ac:dyDescent="0.3">
      <c r="A64" s="136" t="s">
        <v>203</v>
      </c>
      <c r="B64" s="152">
        <f>B63/D48</f>
        <v>1.0305028854080791E-2</v>
      </c>
      <c r="C64" s="152">
        <f>C63/D48</f>
        <v>0.10016488046166529</v>
      </c>
      <c r="D64" s="152">
        <f>D63/D48</f>
        <v>0.16900247320692499</v>
      </c>
      <c r="E64" s="152">
        <f>E63/D48</f>
        <v>0.46001648804616652</v>
      </c>
      <c r="F64" s="152">
        <f>F63/D48</f>
        <v>0.26051112943116239</v>
      </c>
      <c r="J64" s="10">
        <f>IF(B64="N/A","N/A",IF(B64="Data Suppressed","*",IF(B64&lt;0%,"ERROR",IF(B64&gt;100%,"ERROR",IF(B64=0%,0,IF(B64&gt;5%,0,IF(B64&gt;=1%-4%,1,)))))))</f>
        <v>1</v>
      </c>
      <c r="K64" s="10">
        <f>IF(C64="N/A","N/A",IF(C64="Data Suppressed","*",IF(C64&lt;0%,"ERROR",IF(C64&gt;100%,"ERROR",IF(C64&lt;5%,0,IF(C64&gt;50%,0,IF(B64&gt;=4%-49%,1,)))))))</f>
        <v>1</v>
      </c>
      <c r="L64" s="10">
        <f>IF(D64="N/A","N/A",IF(D64="Data Suppressed","*",IF(D64&lt;0%,"ERROR",IF(D64&gt;100%,"ERROR",IF(D64&lt;5%,0,IF(D64&gt;50%,0,IF(D64&gt;=4%-49%,1,)))))))</f>
        <v>1</v>
      </c>
      <c r="M64" s="10">
        <f>IF(E64="N/A","N/A",IF(E64="Data Suppressed","*",IF(E64&lt;0%,"ERROR",IF(E64&gt;100%,"ERROR",IF(E64&lt;5%,0,IF(E64&gt;50%,0,IF(E64&gt;=4%-49%,1,)))))))</f>
        <v>1</v>
      </c>
      <c r="N64" s="10">
        <f>IF(F64="N/A","N/A",IF(F64="Data Suppressed","*",IF(F64&lt;0%,"ERROR",IF(F64&gt;100%,"ERROR",IF(F64&lt;5%,0,IF(F64&gt;65%,0,IF(F64&gt;=4%-64%,1,)))))))</f>
        <v>1</v>
      </c>
      <c r="O64" s="10">
        <f>SUM(J64:N64)</f>
        <v>5</v>
      </c>
    </row>
    <row r="65" spans="1:15" s="10" customFormat="1" ht="36" customHeight="1" thickBot="1" x14ac:dyDescent="0.3">
      <c r="A65" s="136" t="s">
        <v>258</v>
      </c>
      <c r="B65" s="139">
        <f>IF(B64="N/A","N/A",IF(B64="Data Suppressed","*",IF(B64&lt;0%,"ERROR",IF(B64&gt;100%,"ERROR",IF(B64&gt;9%,0,IF(B64&gt;=0%-9%,1,))))))</f>
        <v>1</v>
      </c>
      <c r="C65" s="139">
        <f>IF(C64="N/A","N/A",IF(C64="Data Suppressed","*",IF(C64&lt;0%,"ERROR",IF(C64&gt;100%,"ERROR",IF(C64&lt;2%,0,IF(C64&gt;34%,0,IF(C64&gt;=0%-34%,1,)))))))</f>
        <v>1</v>
      </c>
      <c r="D65" s="139">
        <f>IF(D64="N/A","N/A",IF(D64="Data Suppressed","*",IF(D64&lt;0%,"ERROR",IF(D64&gt;100%,"ERROR",IF(D64&gt;46%,0,IF(D64&gt;=0%-446%,1,))))))</f>
        <v>1</v>
      </c>
      <c r="E65" s="139">
        <f>IF(E64="N/A","N/A",IF(E64="Data Suppressed","*",IF(E64&lt;0%,"ERROR",IF(E64&gt;100%,"ERROR",IF(E64&lt;13%,0,IF(E64&gt;57%,0,IF(E64&gt;=13%-57%,1,)))))))</f>
        <v>1</v>
      </c>
      <c r="F65" s="139">
        <f>IF(F64="N/A","N/A",IF(F64="Data Suppressed","*",IF(F64&lt;0%,"ERROR",IF(F64&gt;100%,"ERROR",IF(F64&gt;53%,0,IF(F64&gt;=0%-53%,1,))))))</f>
        <v>1</v>
      </c>
      <c r="G65" s="10">
        <f>SUM(B65:F65)</f>
        <v>5</v>
      </c>
    </row>
    <row r="66" spans="1:15" s="10" customFormat="1" ht="36" customHeight="1" thickBot="1" x14ac:dyDescent="0.3">
      <c r="A66" s="374" t="s">
        <v>261</v>
      </c>
      <c r="B66" s="386"/>
      <c r="C66" s="139">
        <f>SUM(B65:F65)</f>
        <v>5</v>
      </c>
      <c r="D66" s="51"/>
      <c r="E66" s="387"/>
      <c r="F66" s="388"/>
    </row>
    <row r="67" spans="1:15" s="10" customFormat="1" ht="36" customHeight="1" thickBot="1" x14ac:dyDescent="0.3">
      <c r="A67" s="374" t="s">
        <v>262</v>
      </c>
      <c r="B67" s="375"/>
      <c r="C67" s="385">
        <f>SUM(C54,C60,C66)</f>
        <v>15</v>
      </c>
      <c r="D67" s="385"/>
      <c r="E67" s="142"/>
      <c r="F67" s="143"/>
    </row>
    <row r="68" spans="1:15" s="10" customFormat="1" ht="58.5" customHeight="1" thickBot="1" x14ac:dyDescent="0.3">
      <c r="A68" s="287" t="s">
        <v>216</v>
      </c>
      <c r="B68" s="288"/>
      <c r="C68" s="384"/>
      <c r="D68" s="275">
        <f>IF(C67="N/A","N/A",IF(C67="Data Suppressed","*",IF(C67&lt;0,"ERROR",IF(C67&gt;15,"ERROR",IF(C67&lt;=9,0,IF(C67&gt;=13,2,IF(C67&gt;=10-12,1,)))))))</f>
        <v>2</v>
      </c>
      <c r="E68" s="276"/>
      <c r="F68" s="277"/>
      <c r="G68"/>
      <c r="H68"/>
      <c r="I68"/>
      <c r="O68" s="10">
        <f>SUM(O52:O64)</f>
        <v>15</v>
      </c>
    </row>
    <row r="70" spans="1:15" ht="18.75" x14ac:dyDescent="0.3">
      <c r="A70" s="144"/>
      <c r="B70" s="144"/>
      <c r="C70" s="144"/>
      <c r="D70" s="144"/>
      <c r="E70" s="144"/>
      <c r="F70" s="144"/>
    </row>
    <row r="71" spans="1:15" x14ac:dyDescent="0.25">
      <c r="A71" s="373"/>
      <c r="B71" s="373"/>
      <c r="C71" s="373"/>
      <c r="D71" s="373"/>
      <c r="E71" s="373"/>
      <c r="F71" s="373"/>
    </row>
    <row r="72" spans="1:15" x14ac:dyDescent="0.25">
      <c r="A72" s="373"/>
      <c r="B72" s="373"/>
      <c r="C72" s="373"/>
      <c r="D72" s="373"/>
      <c r="E72" s="373"/>
      <c r="F72" s="373"/>
    </row>
  </sheetData>
  <sheetProtection password="8E71" sheet="1" objects="1" scenarios="1" selectLockedCells="1"/>
  <mergeCells count="34">
    <mergeCell ref="B7:F7"/>
    <mergeCell ref="B8:F8"/>
    <mergeCell ref="E66:F66"/>
    <mergeCell ref="A47:F47"/>
    <mergeCell ref="A1:F1"/>
    <mergeCell ref="A55:F55"/>
    <mergeCell ref="A54:B54"/>
    <mergeCell ref="A48:C48"/>
    <mergeCell ref="B3:C3"/>
    <mergeCell ref="B4:C4"/>
    <mergeCell ref="B5:C5"/>
    <mergeCell ref="A6:F6"/>
    <mergeCell ref="A13:F13"/>
    <mergeCell ref="A2:F2"/>
    <mergeCell ref="A20:F20"/>
    <mergeCell ref="A28:A31"/>
    <mergeCell ref="A32:A34"/>
    <mergeCell ref="A36:A39"/>
    <mergeCell ref="B9:F9"/>
    <mergeCell ref="B10:F10"/>
    <mergeCell ref="B11:F11"/>
    <mergeCell ref="A71:F71"/>
    <mergeCell ref="A72:F72"/>
    <mergeCell ref="A67:B67"/>
    <mergeCell ref="D48:F48"/>
    <mergeCell ref="B42:E42"/>
    <mergeCell ref="C54:D54"/>
    <mergeCell ref="A60:B60"/>
    <mergeCell ref="A61:F61"/>
    <mergeCell ref="A68:C68"/>
    <mergeCell ref="D68:F68"/>
    <mergeCell ref="C67:D67"/>
    <mergeCell ref="A66:B66"/>
    <mergeCell ref="C60:D60"/>
  </mergeCells>
  <conditionalFormatting sqref="D68">
    <cfRule type="cellIs" dxfId="8" priority="2" operator="equal">
      <formula>2</formula>
    </cfRule>
    <cfRule type="cellIs" dxfId="7" priority="3" operator="equal">
      <formula>1</formula>
    </cfRule>
  </conditionalFormatting>
  <conditionalFormatting sqref="D68:F68">
    <cfRule type="cellIs" dxfId="6" priority="1" operator="equal">
      <formula>0</formula>
    </cfRule>
  </conditionalFormatting>
  <pageMargins left="0.7" right="0.7" top="0.75" bottom="0.75" header="0.3" footer="0.3"/>
  <pageSetup scale="54" orientation="portrait" r:id="rId1"/>
  <rowBreaks count="2" manualBreakCount="2">
    <brk id="46" max="5" man="1"/>
    <brk id="71" max="5" man="1"/>
  </rowBreaks>
  <colBreaks count="1" manualBreakCount="1">
    <brk id="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O20"/>
  <sheetViews>
    <sheetView showGridLines="0" zoomScaleNormal="100" zoomScalePageLayoutView="90" workbookViewId="0">
      <selection activeCell="B17" sqref="B17"/>
    </sheetView>
  </sheetViews>
  <sheetFormatPr defaultRowHeight="15" x14ac:dyDescent="0.25"/>
  <cols>
    <col min="1" max="1" width="29.42578125" customWidth="1"/>
    <col min="2" max="7" width="23" customWidth="1"/>
    <col min="8" max="8" width="19.7109375" hidden="1" customWidth="1"/>
    <col min="9" max="15" width="0" hidden="1" customWidth="1"/>
  </cols>
  <sheetData>
    <row r="1" spans="1:9" ht="69.75" customHeight="1" x14ac:dyDescent="0.25">
      <c r="A1" s="405" t="s">
        <v>214</v>
      </c>
      <c r="B1" s="405"/>
      <c r="C1" s="405"/>
      <c r="D1" s="405"/>
      <c r="E1" s="405"/>
      <c r="F1" s="405"/>
      <c r="G1" s="405"/>
    </row>
    <row r="2" spans="1:9" s="10" customFormat="1" ht="172.5" customHeight="1" x14ac:dyDescent="0.25">
      <c r="A2" s="413" t="s">
        <v>287</v>
      </c>
      <c r="B2" s="413"/>
      <c r="C2" s="413"/>
      <c r="D2" s="413"/>
      <c r="E2" s="413"/>
      <c r="F2" s="413"/>
      <c r="G2" s="413"/>
    </row>
    <row r="3" spans="1:9" s="10" customFormat="1" ht="45.75" customHeight="1" x14ac:dyDescent="0.25">
      <c r="A3" s="413" t="s">
        <v>281</v>
      </c>
      <c r="B3" s="413"/>
      <c r="C3" s="413"/>
      <c r="D3" s="413"/>
      <c r="E3" s="413"/>
      <c r="F3" s="413"/>
      <c r="G3" s="413"/>
    </row>
    <row r="4" spans="1:9" s="10" customFormat="1" ht="49.5" customHeight="1" x14ac:dyDescent="0.25">
      <c r="A4" s="413" t="s">
        <v>282</v>
      </c>
      <c r="B4" s="413"/>
      <c r="C4" s="413"/>
      <c r="D4" s="413"/>
      <c r="E4" s="413"/>
      <c r="F4" s="413"/>
      <c r="G4" s="413"/>
    </row>
    <row r="5" spans="1:9" s="144" customFormat="1" ht="20.25" customHeight="1" x14ac:dyDescent="0.3">
      <c r="A5" s="406" t="s">
        <v>211</v>
      </c>
      <c r="B5" s="407"/>
      <c r="C5" s="407"/>
      <c r="D5" s="407"/>
      <c r="E5" s="407"/>
      <c r="F5" s="407"/>
      <c r="G5" s="408"/>
      <c r="H5" s="212"/>
    </row>
    <row r="6" spans="1:9" s="144" customFormat="1" ht="18.75" x14ac:dyDescent="0.3">
      <c r="A6" s="213" t="s">
        <v>90</v>
      </c>
      <c r="B6" s="214" t="s">
        <v>235</v>
      </c>
      <c r="C6" s="214" t="s">
        <v>236</v>
      </c>
      <c r="D6" s="214" t="s">
        <v>237</v>
      </c>
      <c r="E6" s="214" t="s">
        <v>238</v>
      </c>
      <c r="F6" s="214" t="s">
        <v>239</v>
      </c>
      <c r="G6" s="214" t="s">
        <v>263</v>
      </c>
    </row>
    <row r="7" spans="1:9" s="144" customFormat="1" ht="18.75" x14ac:dyDescent="0.3">
      <c r="A7" s="215">
        <v>10</v>
      </c>
      <c r="B7" s="216">
        <v>0.47</v>
      </c>
      <c r="C7" s="216">
        <v>0.42</v>
      </c>
      <c r="D7" s="216">
        <v>0.52</v>
      </c>
      <c r="E7" s="216">
        <v>0.35</v>
      </c>
      <c r="F7" s="216">
        <v>0.57999999999999996</v>
      </c>
      <c r="G7" s="216">
        <v>0.42</v>
      </c>
    </row>
    <row r="8" spans="1:9" s="144" customFormat="1" ht="18.75" x14ac:dyDescent="0.3">
      <c r="A8" s="213">
        <v>90</v>
      </c>
      <c r="B8" s="216">
        <v>0.83</v>
      </c>
      <c r="C8" s="216">
        <v>0.71</v>
      </c>
      <c r="D8" s="216">
        <v>0.85</v>
      </c>
      <c r="E8" s="216">
        <v>0.66</v>
      </c>
      <c r="F8" s="216">
        <v>0.86</v>
      </c>
      <c r="G8" s="216">
        <v>0.73</v>
      </c>
    </row>
    <row r="9" spans="1:9" s="144" customFormat="1" ht="18.75" x14ac:dyDescent="0.3">
      <c r="A9" s="217"/>
      <c r="B9" s="218"/>
      <c r="C9" s="218"/>
      <c r="D9" s="219"/>
      <c r="E9" s="219"/>
      <c r="F9" s="219"/>
      <c r="G9" s="219"/>
    </row>
    <row r="10" spans="1:9" s="144" customFormat="1" ht="20.25" customHeight="1" x14ac:dyDescent="0.3">
      <c r="A10" s="220" t="s">
        <v>212</v>
      </c>
      <c r="B10" s="409" t="s">
        <v>213</v>
      </c>
      <c r="C10" s="410"/>
      <c r="D10" s="221"/>
      <c r="E10" s="221"/>
      <c r="F10" s="221"/>
      <c r="G10" s="221"/>
      <c r="H10" s="221"/>
    </row>
    <row r="11" spans="1:9" s="144" customFormat="1" ht="18.75" x14ac:dyDescent="0.3">
      <c r="A11" s="222">
        <v>0</v>
      </c>
      <c r="B11" s="411" t="s">
        <v>264</v>
      </c>
      <c r="C11" s="412"/>
      <c r="D11" s="221"/>
      <c r="E11" s="221"/>
      <c r="F11" s="221"/>
      <c r="G11" s="221"/>
      <c r="H11" s="221"/>
    </row>
    <row r="12" spans="1:9" s="144" customFormat="1" ht="18.75" x14ac:dyDescent="0.3">
      <c r="A12" s="223">
        <v>1</v>
      </c>
      <c r="B12" s="411" t="s">
        <v>265</v>
      </c>
      <c r="C12" s="412"/>
      <c r="D12" s="221"/>
      <c r="E12" s="221"/>
      <c r="F12" s="221"/>
      <c r="G12" s="221"/>
      <c r="H12" s="221"/>
    </row>
    <row r="13" spans="1:9" s="144" customFormat="1" ht="18.75" x14ac:dyDescent="0.3">
      <c r="A13" s="224">
        <v>2</v>
      </c>
      <c r="B13" s="411" t="s">
        <v>266</v>
      </c>
      <c r="C13" s="412"/>
      <c r="D13" s="221"/>
      <c r="E13" s="241"/>
      <c r="F13" s="221"/>
      <c r="G13" s="221"/>
      <c r="H13" s="221"/>
    </row>
    <row r="14" spans="1:9" s="10" customFormat="1" ht="21" thickBot="1" x14ac:dyDescent="0.3">
      <c r="A14" s="193"/>
      <c r="B14" s="204"/>
      <c r="C14" s="204"/>
      <c r="D14" s="178"/>
      <c r="E14" s="178"/>
      <c r="F14" s="178"/>
      <c r="G14" s="178"/>
      <c r="H14" s="178"/>
    </row>
    <row r="15" spans="1:9" s="10" customFormat="1" ht="29.25" customHeight="1" thickBot="1" x14ac:dyDescent="0.3">
      <c r="A15" s="299" t="s">
        <v>112</v>
      </c>
      <c r="B15" s="300"/>
      <c r="C15" s="300"/>
      <c r="D15" s="300"/>
      <c r="E15" s="300"/>
      <c r="F15" s="300"/>
      <c r="G15" s="418"/>
      <c r="H15" s="17"/>
      <c r="I15" s="174"/>
    </row>
    <row r="16" spans="1:9" s="10" customFormat="1" ht="60" customHeight="1" thickBot="1" x14ac:dyDescent="0.45">
      <c r="A16" s="134" t="s">
        <v>65</v>
      </c>
      <c r="B16" s="238" t="s">
        <v>240</v>
      </c>
      <c r="C16" s="239" t="s">
        <v>241</v>
      </c>
      <c r="D16" s="239" t="s">
        <v>242</v>
      </c>
      <c r="E16" s="239" t="s">
        <v>243</v>
      </c>
      <c r="F16" s="240" t="s">
        <v>244</v>
      </c>
      <c r="G16" s="240" t="s">
        <v>244</v>
      </c>
      <c r="H16" s="414"/>
      <c r="I16" s="415"/>
    </row>
    <row r="17" spans="1:15" s="10" customFormat="1" ht="60" customHeight="1" thickBot="1" x14ac:dyDescent="0.45">
      <c r="A17" s="13" t="s">
        <v>0</v>
      </c>
      <c r="B17" s="55">
        <v>0.72770000000000001</v>
      </c>
      <c r="C17" s="54">
        <v>0.59599999999999997</v>
      </c>
      <c r="D17" s="54">
        <v>0.82750000000000001</v>
      </c>
      <c r="E17" s="54">
        <v>0.50949999999999995</v>
      </c>
      <c r="F17" s="54">
        <v>0.85060000000000002</v>
      </c>
      <c r="G17" s="51">
        <v>0.72050000000000003</v>
      </c>
      <c r="H17" s="172"/>
      <c r="I17" s="173"/>
      <c r="J17" s="10">
        <f>IF(B17="N/A","N/A",IF(B17="Data Suppressed","*",IF(B17&lt;0%,"ERROR",IF(B17&gt;100%,"ERROR",IF(B17&lt;47%,0,IF(B17&gt;83%,2,IF(B17&gt;=47%-83%,1,)))))))</f>
        <v>1</v>
      </c>
      <c r="K17" s="10">
        <f>IF(C17="N/A","N/A",IF(C17="Data Suppressed","*",IF(C17&lt;0%,"ERROR",IF(C17&gt;100%,"ERROR",IF(C17&lt;42%,0,IF(C17&gt;=71%,2,IF(C17&gt;=42%-70%,1,)))))))</f>
        <v>1</v>
      </c>
      <c r="L17" s="10">
        <f>IF(D17="N/A","N/A",IF(D17="Data Suppressed","*",IF(D17&lt;0%,"ERROR",IF(D17&gt;100%,"ERROR",IF(D17&lt;52%,0,IF(D17&gt;=85%,2,IF(C17&gt;=52%-84%,1,)))))))</f>
        <v>1</v>
      </c>
      <c r="M17" s="10">
        <f>IF(E17="N/A","N/A",IF(E17="Data Suppressed","*",IF(E17&lt;0%,"ERROR",IF(E17&gt;100%,"ERROR",IF(E17&lt;35%,0,IF(E17&gt;=66%,2,IF(E17&gt;=35%-65%,1,)))))))</f>
        <v>1</v>
      </c>
      <c r="N17" s="10">
        <f>IF(F17="N/A","N/A",IF(F17="Data Suppressed","*",IF(F17&lt;0%,"ERROR",IF(F17&gt;100%,"ERROR",IF(F17&lt;58%,0,IF(F17&gt;=86%,2,IF(F17&gt;=58%-85%,1,)))))))</f>
        <v>1</v>
      </c>
      <c r="O17" s="10">
        <f>IF(G17="N/A","N/A",IF(G17="Data Suppressed","*",IF(G17&lt;0%,"ERROR",IF(G17&gt;100%,"ERROR",IF(G17&lt;42%,0,IF(C17&gt;=73%,2,IF(C17&gt;=42%-72%,1,)))))))</f>
        <v>1</v>
      </c>
    </row>
    <row r="18" spans="1:15" s="10" customFormat="1" ht="60" customHeight="1" thickBot="1" x14ac:dyDescent="0.45">
      <c r="A18" s="13" t="s">
        <v>258</v>
      </c>
      <c r="B18" s="15">
        <f>IF(B17="N/A","N/A",IF(B17="Data Suppressed","*",IF(B17&lt;0%,"ERROR",IF(B17&gt;100%,"ERROR",IF(B17&lt;47%,0,IF(B17&gt;83%,2,IF(B17&gt;=47%-83%,1,)))))))</f>
        <v>1</v>
      </c>
      <c r="C18" s="15">
        <f>IF(C17="N/A","N/A",IF(C17="Data Suppressed","*",IF(C17&lt;0%,"ERROR",IF(C17&gt;100%,"ERROR",IF(C17&lt;42%,0,IF(C17&gt;=71%,2,IF(C17&gt;=42%-70%,1,)))))))</f>
        <v>1</v>
      </c>
      <c r="D18" s="15">
        <f>IF(D17="N/A","N/A",IF(D17="Data Suppressed","*",IF(D17&lt;0%,"ERROR",IF(D17&gt;100%,"ERROR",IF(D17&lt;52%,0,IF(D17&gt;=85%,2,IF(D17&gt;=52%-84%,1,)))))))</f>
        <v>1</v>
      </c>
      <c r="E18" s="15">
        <f>IF(E17="N/A","N/A",IF(E17="Data Suppressed","*",IF(E17&lt;0%,"ERROR",IF(E17&gt;100%,"ERROR",IF(E17&lt;35%,0,IF(E17&gt;=66%,2,IF(E17&gt;=35%-65%,1,)))))))</f>
        <v>1</v>
      </c>
      <c r="F18" s="15">
        <f>IF(F17="N/A","N/A",IF(F17="Data Suppressed","*",IF(F17&lt;0%,"ERROR",IF(F17&gt;100%,"ERROR",IF(F17&lt;58%,0,IF(F17&gt;=86%,2,IF(F17&gt;=58%-85%,1,)))))))</f>
        <v>1</v>
      </c>
      <c r="G18" s="15">
        <f>IF(G17="N/A","N/A",IF(G17="Data Suppressed","*",IF(G17&lt;0%,"ERROR",IF(G17&gt;100%,"ERROR",IF(G17&lt;42%,0,IF(G17&gt;=73%,2,IF(G17&gt;=42%-72%,1,)))))))</f>
        <v>1</v>
      </c>
      <c r="H18" s="172"/>
      <c r="I18" s="173"/>
    </row>
    <row r="19" spans="1:15" s="10" customFormat="1" ht="60" customHeight="1" thickBot="1" x14ac:dyDescent="0.45">
      <c r="A19" s="416" t="s">
        <v>267</v>
      </c>
      <c r="B19" s="417"/>
      <c r="C19" s="417"/>
      <c r="D19" s="300">
        <f>SUM(B18:G18)</f>
        <v>6</v>
      </c>
      <c r="E19" s="300"/>
      <c r="F19" s="418"/>
      <c r="G19" s="179"/>
      <c r="H19" s="172"/>
      <c r="I19" s="173"/>
    </row>
    <row r="20" spans="1:15" s="10" customFormat="1" ht="60" customHeight="1" thickBot="1" x14ac:dyDescent="0.3">
      <c r="A20" s="287" t="s">
        <v>209</v>
      </c>
      <c r="B20" s="288"/>
      <c r="C20" s="288"/>
      <c r="D20" s="278">
        <f>IF(D19="N/A","N/A",IF(D19="Data Suppressed","*",IF(D92,"N/A",IF(D19&gt;100,"ERROR",IF(D19&lt;=4,0,IF(D19&gt;=9,2,IF(D19&gt;=4-8,1,)))))))</f>
        <v>1</v>
      </c>
      <c r="E20" s="278"/>
      <c r="F20" s="278"/>
      <c r="G20" s="177"/>
      <c r="H20" s="175"/>
      <c r="I20" s="176"/>
      <c r="O20" s="10">
        <f>SUM(B18:G18)</f>
        <v>6</v>
      </c>
    </row>
  </sheetData>
  <sheetProtection password="8E71" sheet="1" objects="1" scenarios="1" selectLockedCells="1"/>
  <mergeCells count="15">
    <mergeCell ref="B12:C12"/>
    <mergeCell ref="B13:C13"/>
    <mergeCell ref="H16:I16"/>
    <mergeCell ref="A20:C20"/>
    <mergeCell ref="D20:F20"/>
    <mergeCell ref="A19:C19"/>
    <mergeCell ref="D19:F19"/>
    <mergeCell ref="A15:G15"/>
    <mergeCell ref="A1:G1"/>
    <mergeCell ref="A5:G5"/>
    <mergeCell ref="B10:C10"/>
    <mergeCell ref="B11:C11"/>
    <mergeCell ref="A2:G2"/>
    <mergeCell ref="A3:G3"/>
    <mergeCell ref="A4:G4"/>
  </mergeCells>
  <conditionalFormatting sqref="D20">
    <cfRule type="cellIs" dxfId="5" priority="1" operator="equal">
      <formula>2</formula>
    </cfRule>
    <cfRule type="cellIs" dxfId="4" priority="2" operator="equal">
      <formula>1</formula>
    </cfRule>
    <cfRule type="cellIs" dxfId="3" priority="3" operator="equal">
      <formula>0</formula>
    </cfRule>
  </conditionalFormatting>
  <dataValidations count="1">
    <dataValidation allowBlank="1" showInputMessage="1" showErrorMessage="1" prompt="Enter:_x000a_ 0-100%, N/A, or Data Suppressed_x000a_" sqref="B16:B17"/>
  </dataValidations>
  <pageMargins left="0.7" right="0.7" top="0.75" bottom="0.75" header="0.3" footer="0.3"/>
  <pageSetup scale="5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V453"/>
  <sheetViews>
    <sheetView showGridLines="0" zoomScaleNormal="100" zoomScalePageLayoutView="90" workbookViewId="0">
      <selection activeCell="A33" sqref="A33"/>
    </sheetView>
  </sheetViews>
  <sheetFormatPr defaultRowHeight="15" x14ac:dyDescent="0.25"/>
  <cols>
    <col min="2" max="2" width="11.140625" customWidth="1"/>
    <col min="3" max="3" width="18.7109375" customWidth="1"/>
    <col min="4" max="6" width="11.140625" customWidth="1"/>
    <col min="7" max="7" width="11.5703125" customWidth="1"/>
    <col min="8" max="8" width="13.140625" customWidth="1"/>
    <col min="14" max="14" width="23.42578125" customWidth="1"/>
  </cols>
  <sheetData>
    <row r="1" spans="1:14" s="205" customFormat="1" ht="44.25" customHeight="1" x14ac:dyDescent="0.25">
      <c r="A1" s="436" t="s">
        <v>283</v>
      </c>
      <c r="B1" s="436"/>
      <c r="C1" s="436"/>
      <c r="D1" s="436"/>
      <c r="E1" s="436"/>
      <c r="F1" s="436"/>
      <c r="G1" s="436"/>
      <c r="H1" s="436"/>
      <c r="I1" s="436"/>
      <c r="J1" s="436"/>
      <c r="K1" s="436"/>
      <c r="L1" s="436"/>
      <c r="M1" s="436"/>
      <c r="N1" s="436"/>
    </row>
    <row r="2" spans="1:14" s="10" customFormat="1" ht="103.5" customHeight="1" x14ac:dyDescent="0.25">
      <c r="A2" s="401" t="s">
        <v>284</v>
      </c>
      <c r="B2" s="437"/>
      <c r="C2" s="437"/>
      <c r="D2" s="437"/>
      <c r="E2" s="437"/>
      <c r="F2" s="437"/>
      <c r="G2" s="437"/>
      <c r="H2" s="437"/>
      <c r="I2" s="437"/>
      <c r="J2" s="437"/>
      <c r="K2" s="437"/>
      <c r="L2" s="437"/>
      <c r="M2" s="437"/>
      <c r="N2" s="437"/>
    </row>
    <row r="3" spans="1:14" s="17" customFormat="1" ht="21" customHeight="1" x14ac:dyDescent="0.25">
      <c r="A3" s="208"/>
      <c r="B3" s="209"/>
      <c r="C3" s="209"/>
      <c r="D3" s="209"/>
      <c r="E3" s="209"/>
      <c r="F3" s="209"/>
      <c r="G3" s="209"/>
      <c r="H3" s="209"/>
      <c r="I3" s="209"/>
      <c r="J3" s="209"/>
      <c r="K3" s="209"/>
      <c r="L3" s="209"/>
      <c r="M3" s="209"/>
      <c r="N3" s="209"/>
    </row>
    <row r="4" spans="1:14" s="17" customFormat="1" ht="21" customHeight="1" x14ac:dyDescent="0.25">
      <c r="A4" s="208"/>
      <c r="B4" s="209"/>
      <c r="C4" s="209"/>
      <c r="D4" s="209"/>
      <c r="E4" s="209"/>
      <c r="F4" s="209"/>
      <c r="G4" s="209"/>
      <c r="H4" s="209"/>
      <c r="I4" s="209"/>
      <c r="J4" s="209"/>
      <c r="K4" s="209"/>
      <c r="L4" s="209"/>
      <c r="M4" s="209"/>
      <c r="N4" s="209"/>
    </row>
    <row r="5" spans="1:14" s="17" customFormat="1" ht="21" customHeight="1" x14ac:dyDescent="0.25">
      <c r="A5" s="208"/>
      <c r="B5" s="209"/>
      <c r="C5" s="209"/>
      <c r="D5" s="209"/>
      <c r="E5" s="209"/>
      <c r="F5" s="209"/>
      <c r="G5" s="209"/>
      <c r="H5" s="209"/>
      <c r="I5" s="209"/>
      <c r="J5" s="209"/>
      <c r="K5" s="209"/>
      <c r="L5" s="209"/>
      <c r="M5" s="209"/>
      <c r="N5" s="209"/>
    </row>
    <row r="6" spans="1:14" s="17" customFormat="1" ht="21" customHeight="1" x14ac:dyDescent="0.25">
      <c r="A6" s="208"/>
      <c r="B6" s="209"/>
      <c r="C6" s="209"/>
      <c r="D6" s="209"/>
      <c r="E6" s="209"/>
      <c r="F6" s="209"/>
      <c r="G6" s="209"/>
      <c r="H6" s="209"/>
      <c r="I6" s="209"/>
      <c r="J6" s="209"/>
      <c r="K6" s="209"/>
      <c r="L6" s="209"/>
      <c r="M6" s="209"/>
      <c r="N6" s="209"/>
    </row>
    <row r="7" spans="1:14" s="17" customFormat="1" ht="21" customHeight="1" x14ac:dyDescent="0.25">
      <c r="A7" s="208"/>
      <c r="B7" s="209"/>
      <c r="C7" s="209"/>
      <c r="D7" s="209"/>
      <c r="E7" s="209"/>
      <c r="F7" s="209"/>
      <c r="G7" s="209"/>
      <c r="H7" s="209"/>
      <c r="I7" s="209"/>
      <c r="J7" s="209"/>
      <c r="K7" s="209"/>
      <c r="L7" s="209"/>
      <c r="M7" s="209"/>
      <c r="N7" s="209"/>
    </row>
    <row r="8" spans="1:14" s="17" customFormat="1" ht="21" customHeight="1" x14ac:dyDescent="0.25">
      <c r="A8" s="208"/>
      <c r="B8" s="209"/>
      <c r="C8" s="209"/>
      <c r="D8" s="209"/>
      <c r="E8" s="209"/>
      <c r="F8" s="209"/>
      <c r="G8" s="209"/>
      <c r="H8" s="209"/>
      <c r="I8" s="209"/>
      <c r="J8" s="209"/>
      <c r="K8" s="209"/>
      <c r="L8" s="209"/>
      <c r="M8" s="209"/>
      <c r="N8" s="209"/>
    </row>
    <row r="9" spans="1:14" s="17" customFormat="1" ht="21" customHeight="1" x14ac:dyDescent="0.25">
      <c r="A9" s="208"/>
      <c r="B9" s="209"/>
      <c r="C9" s="209"/>
      <c r="D9" s="209"/>
      <c r="E9" s="209"/>
      <c r="F9" s="209"/>
      <c r="G9" s="209"/>
      <c r="H9" s="209"/>
      <c r="I9" s="209"/>
      <c r="J9" s="209"/>
      <c r="K9" s="209"/>
      <c r="L9" s="209"/>
      <c r="M9" s="209"/>
      <c r="N9" s="209"/>
    </row>
    <row r="10" spans="1:14" s="17" customFormat="1" ht="21" customHeight="1" x14ac:dyDescent="0.25">
      <c r="A10" s="208"/>
      <c r="B10" s="209"/>
      <c r="C10" s="209"/>
      <c r="D10" s="209"/>
      <c r="E10" s="209"/>
      <c r="F10" s="209"/>
      <c r="G10" s="209"/>
      <c r="H10" s="209"/>
      <c r="I10" s="209"/>
      <c r="J10" s="209"/>
      <c r="K10" s="209"/>
      <c r="L10" s="209"/>
      <c r="M10" s="209"/>
      <c r="N10" s="209"/>
    </row>
    <row r="11" spans="1:14" s="17" customFormat="1" ht="21" customHeight="1" x14ac:dyDescent="0.25">
      <c r="A11" s="208"/>
      <c r="B11" s="209"/>
      <c r="C11" s="209"/>
      <c r="D11" s="209"/>
      <c r="E11" s="209"/>
      <c r="F11" s="209"/>
      <c r="G11" s="209"/>
      <c r="H11" s="209"/>
      <c r="I11" s="209"/>
      <c r="J11" s="209"/>
      <c r="K11" s="209"/>
      <c r="L11" s="209"/>
      <c r="M11" s="209"/>
      <c r="N11" s="209"/>
    </row>
    <row r="12" spans="1:14" s="17" customFormat="1" ht="21" customHeight="1" x14ac:dyDescent="0.25">
      <c r="A12" s="208"/>
      <c r="B12" s="209"/>
      <c r="C12" s="209"/>
      <c r="D12" s="209"/>
      <c r="E12" s="209"/>
      <c r="F12" s="209"/>
      <c r="G12" s="209"/>
      <c r="H12" s="209"/>
      <c r="I12" s="209"/>
      <c r="J12" s="209"/>
      <c r="K12" s="209"/>
      <c r="L12" s="209"/>
      <c r="M12" s="209"/>
      <c r="N12" s="209"/>
    </row>
    <row r="13" spans="1:14" s="17" customFormat="1" ht="21" customHeight="1" x14ac:dyDescent="0.25">
      <c r="A13" s="208"/>
      <c r="B13" s="209"/>
      <c r="C13" s="209"/>
      <c r="D13" s="209"/>
      <c r="E13" s="209"/>
      <c r="F13" s="209"/>
      <c r="G13" s="209"/>
      <c r="H13" s="209"/>
      <c r="I13" s="209"/>
      <c r="J13" s="209"/>
      <c r="K13" s="209"/>
      <c r="L13" s="209"/>
      <c r="M13" s="209"/>
      <c r="N13" s="209"/>
    </row>
    <row r="14" spans="1:14" s="17" customFormat="1" ht="21" customHeight="1" x14ac:dyDescent="0.25">
      <c r="A14" s="208"/>
      <c r="B14" s="209"/>
      <c r="C14" s="209"/>
      <c r="D14" s="209"/>
      <c r="E14" s="209"/>
      <c r="F14" s="209"/>
      <c r="G14" s="209"/>
      <c r="H14" s="209"/>
      <c r="I14" s="209"/>
      <c r="J14" s="209"/>
      <c r="K14" s="209"/>
      <c r="L14" s="209"/>
      <c r="M14" s="209"/>
      <c r="N14" s="209"/>
    </row>
    <row r="15" spans="1:14" s="17" customFormat="1" ht="21" customHeight="1" x14ac:dyDescent="0.25">
      <c r="A15" s="208"/>
      <c r="B15" s="209"/>
      <c r="C15" s="209"/>
      <c r="D15" s="209"/>
      <c r="E15" s="209"/>
      <c r="F15" s="209"/>
      <c r="G15" s="209"/>
      <c r="H15" s="209"/>
      <c r="I15" s="209"/>
      <c r="J15" s="209"/>
      <c r="K15" s="209"/>
      <c r="L15" s="209"/>
      <c r="M15" s="209"/>
      <c r="N15" s="209"/>
    </row>
    <row r="16" spans="1:14" s="17" customFormat="1" ht="21" customHeight="1" x14ac:dyDescent="0.25">
      <c r="A16" s="208"/>
      <c r="B16" s="209"/>
      <c r="C16" s="209"/>
      <c r="D16" s="209"/>
      <c r="E16" s="209"/>
      <c r="F16" s="209"/>
      <c r="G16" s="209"/>
      <c r="H16" s="209"/>
      <c r="I16" s="209"/>
      <c r="J16" s="209"/>
      <c r="K16" s="209"/>
      <c r="L16" s="209"/>
      <c r="M16" s="209"/>
      <c r="N16" s="209"/>
    </row>
    <row r="17" spans="1:14" s="17" customFormat="1" ht="21" customHeight="1" x14ac:dyDescent="0.25">
      <c r="A17" s="208"/>
      <c r="B17" s="209"/>
      <c r="C17" s="209"/>
      <c r="D17" s="209"/>
      <c r="E17" s="209"/>
      <c r="F17" s="209"/>
      <c r="G17" s="209"/>
      <c r="H17" s="209"/>
      <c r="I17" s="209"/>
      <c r="J17" s="209"/>
      <c r="K17" s="209"/>
      <c r="L17" s="209"/>
      <c r="M17" s="209"/>
      <c r="N17" s="209"/>
    </row>
    <row r="18" spans="1:14" s="17" customFormat="1" ht="21" customHeight="1" x14ac:dyDescent="0.25">
      <c r="A18" s="208"/>
      <c r="B18" s="209"/>
      <c r="C18" s="209"/>
      <c r="D18" s="209"/>
      <c r="E18" s="209"/>
      <c r="F18" s="209"/>
      <c r="G18" s="209"/>
      <c r="H18" s="209"/>
      <c r="I18" s="209"/>
      <c r="J18" s="209"/>
      <c r="K18" s="209"/>
      <c r="L18" s="209"/>
      <c r="M18" s="209"/>
      <c r="N18" s="209"/>
    </row>
    <row r="19" spans="1:14" s="17" customFormat="1" ht="21" customHeight="1" x14ac:dyDescent="0.25">
      <c r="A19" s="208"/>
      <c r="B19" s="209"/>
      <c r="C19" s="209"/>
      <c r="D19" s="209"/>
      <c r="E19" s="209"/>
      <c r="F19" s="209"/>
      <c r="G19" s="209"/>
      <c r="H19" s="209"/>
      <c r="I19" s="209"/>
      <c r="J19" s="209"/>
      <c r="K19" s="209"/>
      <c r="L19" s="209"/>
      <c r="M19" s="209"/>
      <c r="N19" s="209"/>
    </row>
    <row r="20" spans="1:14" s="17" customFormat="1" ht="21" customHeight="1" x14ac:dyDescent="0.25">
      <c r="A20" s="208"/>
      <c r="B20" s="209"/>
      <c r="C20" s="209"/>
      <c r="D20" s="209"/>
      <c r="E20" s="209"/>
      <c r="F20" s="209"/>
      <c r="G20" s="209"/>
      <c r="H20" s="209"/>
      <c r="I20" s="209"/>
      <c r="J20" s="209"/>
      <c r="K20" s="209"/>
      <c r="L20" s="209"/>
      <c r="M20" s="209"/>
      <c r="N20" s="209"/>
    </row>
    <row r="21" spans="1:14" s="17" customFormat="1" ht="21" customHeight="1" x14ac:dyDescent="0.25">
      <c r="A21" s="208"/>
      <c r="B21" s="209"/>
      <c r="C21" s="209"/>
      <c r="D21" s="209"/>
      <c r="E21" s="209"/>
      <c r="F21" s="209"/>
      <c r="G21" s="209"/>
      <c r="H21" s="209"/>
      <c r="I21" s="209"/>
      <c r="J21" s="209"/>
      <c r="K21" s="209"/>
      <c r="L21" s="209"/>
      <c r="M21" s="209"/>
      <c r="N21" s="209"/>
    </row>
    <row r="22" spans="1:14" s="17" customFormat="1" ht="21" customHeight="1" x14ac:dyDescent="0.25">
      <c r="A22" s="208"/>
      <c r="B22" s="209"/>
      <c r="C22" s="209"/>
      <c r="D22" s="209"/>
      <c r="E22" s="209"/>
      <c r="F22" s="209"/>
      <c r="G22" s="209"/>
      <c r="H22" s="209"/>
      <c r="I22" s="209"/>
      <c r="J22" s="209"/>
      <c r="K22" s="209"/>
      <c r="L22" s="209"/>
      <c r="M22" s="209"/>
      <c r="N22" s="209"/>
    </row>
    <row r="23" spans="1:14" s="17" customFormat="1" ht="21" customHeight="1" x14ac:dyDescent="0.25">
      <c r="A23" s="208"/>
      <c r="B23" s="209"/>
      <c r="C23" s="209"/>
      <c r="D23" s="209"/>
      <c r="E23" s="209"/>
      <c r="F23" s="209"/>
      <c r="G23" s="209"/>
      <c r="H23" s="209"/>
      <c r="I23" s="209"/>
      <c r="J23" s="209"/>
      <c r="K23" s="209"/>
      <c r="L23" s="209"/>
      <c r="M23" s="209"/>
      <c r="N23" s="209"/>
    </row>
    <row r="24" spans="1:14" s="17" customFormat="1" ht="21" customHeight="1" x14ac:dyDescent="0.25">
      <c r="A24" s="208"/>
      <c r="B24" s="209"/>
      <c r="C24" s="209"/>
      <c r="D24" s="209"/>
      <c r="E24" s="209"/>
      <c r="F24" s="209"/>
      <c r="G24" s="209"/>
      <c r="H24" s="209"/>
      <c r="I24" s="209"/>
      <c r="J24" s="209"/>
      <c r="K24" s="209"/>
      <c r="L24" s="209"/>
      <c r="M24" s="209"/>
      <c r="N24" s="209"/>
    </row>
    <row r="25" spans="1:14" s="17" customFormat="1" ht="21" customHeight="1" x14ac:dyDescent="0.25">
      <c r="A25" s="208"/>
      <c r="B25" s="209"/>
      <c r="C25" s="209"/>
      <c r="D25" s="209"/>
      <c r="E25" s="209"/>
      <c r="F25" s="209"/>
      <c r="G25" s="209"/>
      <c r="H25" s="209"/>
      <c r="I25" s="209"/>
      <c r="J25" s="209"/>
      <c r="K25" s="209"/>
      <c r="L25" s="209"/>
      <c r="M25" s="209"/>
      <c r="N25" s="209"/>
    </row>
    <row r="26" spans="1:14" s="17" customFormat="1" ht="21" customHeight="1" x14ac:dyDescent="0.25">
      <c r="A26" s="208"/>
      <c r="B26" s="209"/>
      <c r="C26" s="209"/>
      <c r="D26" s="209"/>
      <c r="E26" s="209"/>
      <c r="F26" s="209"/>
      <c r="G26" s="209"/>
      <c r="H26" s="209"/>
      <c r="I26" s="209"/>
      <c r="J26" s="209"/>
      <c r="K26" s="209"/>
      <c r="L26" s="209"/>
      <c r="M26" s="209"/>
      <c r="N26" s="209"/>
    </row>
    <row r="27" spans="1:14" s="144" customFormat="1" ht="51.75" customHeight="1" x14ac:dyDescent="0.3">
      <c r="A27" s="446" t="s">
        <v>196</v>
      </c>
      <c r="B27" s="446"/>
      <c r="C27" s="446"/>
      <c r="D27" s="446" t="s">
        <v>195</v>
      </c>
      <c r="E27" s="446"/>
      <c r="F27" s="446"/>
      <c r="G27" s="446"/>
      <c r="H27" s="210"/>
      <c r="I27" s="211"/>
      <c r="J27" s="211"/>
    </row>
    <row r="28" spans="1:14" s="10" customFormat="1" ht="18.75" x14ac:dyDescent="0.25">
      <c r="A28" s="447">
        <v>0</v>
      </c>
      <c r="B28" s="447"/>
      <c r="C28" s="447"/>
      <c r="D28" s="445" t="s">
        <v>194</v>
      </c>
      <c r="E28" s="445"/>
      <c r="F28" s="445"/>
      <c r="G28" s="445"/>
      <c r="H28" s="133"/>
      <c r="I28" s="133"/>
      <c r="J28" s="133"/>
    </row>
    <row r="29" spans="1:14" s="10" customFormat="1" ht="18.75" x14ac:dyDescent="0.25">
      <c r="A29" s="448">
        <v>1</v>
      </c>
      <c r="B29" s="448"/>
      <c r="C29" s="448"/>
      <c r="D29" s="445" t="s">
        <v>192</v>
      </c>
      <c r="E29" s="445"/>
      <c r="F29" s="445"/>
      <c r="G29" s="445"/>
      <c r="H29" s="133"/>
      <c r="I29" s="133"/>
      <c r="J29" s="133"/>
    </row>
    <row r="30" spans="1:14" s="10" customFormat="1" ht="18.75" x14ac:dyDescent="0.25">
      <c r="A30" s="444">
        <v>2</v>
      </c>
      <c r="B30" s="444"/>
      <c r="C30" s="444"/>
      <c r="D30" s="445" t="s">
        <v>193</v>
      </c>
      <c r="E30" s="445"/>
      <c r="F30" s="445"/>
      <c r="G30" s="445"/>
      <c r="H30" s="133"/>
      <c r="I30" s="133"/>
      <c r="J30" s="133"/>
    </row>
    <row r="31" spans="1:14" s="10" customFormat="1" ht="21" customHeight="1" x14ac:dyDescent="0.25">
      <c r="A31" s="206"/>
      <c r="B31" s="207"/>
      <c r="C31" s="207"/>
      <c r="D31" s="207"/>
      <c r="E31" s="207"/>
      <c r="F31" s="207"/>
      <c r="G31" s="207"/>
      <c r="H31" s="207"/>
      <c r="I31" s="207"/>
      <c r="J31" s="207"/>
      <c r="K31" s="207"/>
      <c r="L31" s="207"/>
      <c r="M31" s="207"/>
      <c r="N31" s="207"/>
    </row>
    <row r="32" spans="1:14" s="10" customFormat="1" ht="27" customHeight="1" x14ac:dyDescent="0.3">
      <c r="A32" s="424" t="s">
        <v>197</v>
      </c>
      <c r="B32" s="425"/>
      <c r="C32" s="425"/>
      <c r="D32" s="425"/>
      <c r="E32" s="425"/>
      <c r="F32" s="425"/>
      <c r="G32" s="425"/>
      <c r="H32" s="425"/>
      <c r="I32" s="425"/>
      <c r="J32" s="425"/>
      <c r="K32" s="425"/>
      <c r="L32" s="425"/>
      <c r="M32" s="425"/>
      <c r="N32" s="426"/>
    </row>
    <row r="33" spans="1:22" s="53" customFormat="1" ht="77.25" customHeight="1" thickBot="1" x14ac:dyDescent="0.3">
      <c r="A33" s="59"/>
      <c r="B33" s="61"/>
      <c r="C33" s="63" t="s">
        <v>172</v>
      </c>
      <c r="D33" s="72" t="s">
        <v>180</v>
      </c>
      <c r="E33" s="82" t="s">
        <v>181</v>
      </c>
      <c r="F33" s="72" t="s">
        <v>182</v>
      </c>
      <c r="G33" s="82" t="s">
        <v>183</v>
      </c>
      <c r="H33" s="92" t="s">
        <v>184</v>
      </c>
      <c r="I33" s="96" t="s">
        <v>185</v>
      </c>
      <c r="J33" s="96" t="s">
        <v>186</v>
      </c>
      <c r="K33" s="96" t="s">
        <v>187</v>
      </c>
      <c r="L33" s="107" t="s">
        <v>188</v>
      </c>
      <c r="M33" s="107" t="s">
        <v>189</v>
      </c>
      <c r="N33" s="120" t="s">
        <v>190</v>
      </c>
      <c r="O33" s="121"/>
      <c r="P33" s="121"/>
      <c r="Q33" s="121"/>
      <c r="R33" s="121"/>
      <c r="S33" s="121"/>
      <c r="T33" s="121"/>
      <c r="U33" s="121"/>
      <c r="V33" s="121"/>
    </row>
    <row r="34" spans="1:22" s="53" customFormat="1" ht="77.25" hidden="1" customHeight="1" thickBot="1" x14ac:dyDescent="0.3">
      <c r="A34" s="53" t="s">
        <v>114</v>
      </c>
      <c r="B34" s="435" t="s">
        <v>170</v>
      </c>
      <c r="C34" s="64" t="s">
        <v>173</v>
      </c>
      <c r="D34" s="73">
        <v>358</v>
      </c>
      <c r="E34" s="83">
        <v>0.65080000000000005</v>
      </c>
      <c r="F34" s="73">
        <v>356</v>
      </c>
      <c r="G34" s="83">
        <v>0.65169999999999995</v>
      </c>
      <c r="H34" s="83">
        <f t="shared" ref="H34:H107" si="0">G34-E34</f>
        <v>8.9999999999990088E-4</v>
      </c>
      <c r="I34" s="97">
        <f t="shared" ref="I34:I39" si="1">SQRT(E34*(1-E34)/D34+G34*(1-G34)/F34)</f>
        <v>3.5670813323181734E-2</v>
      </c>
      <c r="J34" s="97">
        <f t="shared" ref="J34:J39" si="2">H34/I34</f>
        <v>2.5230711502028165E-2</v>
      </c>
      <c r="K34" s="97">
        <f t="shared" ref="K34:K39" si="3">2*(1-NORMDIST(ABS(J34),0,1,TRUE))</f>
        <v>0.9798709405127628</v>
      </c>
      <c r="L34" s="108" t="str">
        <f t="shared" ref="L34:L39" si="4">IF(K34="","",IF(K34&lt;=0.05, "Yes", "No"))</f>
        <v>No</v>
      </c>
      <c r="M34" s="114">
        <f t="shared" ref="M34:M39" si="5">IF(H34&gt;=0, 1, 0)</f>
        <v>1</v>
      </c>
      <c r="N34" s="114">
        <v>1</v>
      </c>
    </row>
    <row r="35" spans="1:22" s="53" customFormat="1" ht="77.25" hidden="1" customHeight="1" thickBot="1" x14ac:dyDescent="0.3">
      <c r="A35" s="53" t="s">
        <v>114</v>
      </c>
      <c r="B35" s="429"/>
      <c r="C35" s="65" t="s">
        <v>174</v>
      </c>
      <c r="D35" s="74">
        <v>410</v>
      </c>
      <c r="E35" s="84">
        <v>0.67320000000000002</v>
      </c>
      <c r="F35" s="74">
        <v>414</v>
      </c>
      <c r="G35" s="84">
        <v>0.69320000000000004</v>
      </c>
      <c r="H35" s="90">
        <f t="shared" si="0"/>
        <v>2.0000000000000018E-2</v>
      </c>
      <c r="I35" s="98">
        <f t="shared" si="1"/>
        <v>3.2408245753759987E-2</v>
      </c>
      <c r="J35" s="98">
        <f t="shared" si="2"/>
        <v>0.6171268927038307</v>
      </c>
      <c r="K35" s="98">
        <f t="shared" si="3"/>
        <v>0.53715103175634193</v>
      </c>
      <c r="L35" s="109" t="str">
        <f t="shared" si="4"/>
        <v>No</v>
      </c>
      <c r="M35" s="115">
        <f t="shared" si="5"/>
        <v>1</v>
      </c>
      <c r="N35" s="115">
        <v>1</v>
      </c>
    </row>
    <row r="36" spans="1:22" s="53" customFormat="1" ht="77.25" hidden="1" customHeight="1" thickBot="1" x14ac:dyDescent="0.3">
      <c r="A36" s="53" t="s">
        <v>114</v>
      </c>
      <c r="B36" s="431"/>
      <c r="C36" s="66" t="s">
        <v>175</v>
      </c>
      <c r="D36" s="75">
        <v>398</v>
      </c>
      <c r="E36" s="85">
        <v>0.6784</v>
      </c>
      <c r="F36" s="75">
        <v>409</v>
      </c>
      <c r="G36" s="85">
        <v>0.6895</v>
      </c>
      <c r="H36" s="90">
        <f t="shared" si="0"/>
        <v>1.1099999999999999E-2</v>
      </c>
      <c r="I36" s="99">
        <f t="shared" si="1"/>
        <v>3.273562728706602E-2</v>
      </c>
      <c r="J36" s="99">
        <f t="shared" si="2"/>
        <v>0.33908010690192741</v>
      </c>
      <c r="K36" s="99">
        <f t="shared" si="3"/>
        <v>0.73454938404736936</v>
      </c>
      <c r="L36" s="109" t="str">
        <f t="shared" si="4"/>
        <v>No</v>
      </c>
      <c r="M36" s="115">
        <f t="shared" si="5"/>
        <v>1</v>
      </c>
      <c r="N36" s="115">
        <v>1</v>
      </c>
    </row>
    <row r="37" spans="1:22" s="53" customFormat="1" ht="77.25" hidden="1" customHeight="1" thickBot="1" x14ac:dyDescent="0.3">
      <c r="A37" s="53" t="s">
        <v>114</v>
      </c>
      <c r="B37" s="428" t="s">
        <v>171</v>
      </c>
      <c r="C37" s="67" t="s">
        <v>173</v>
      </c>
      <c r="D37" s="76">
        <v>487</v>
      </c>
      <c r="E37" s="86">
        <v>0.53800000000000003</v>
      </c>
      <c r="F37" s="76">
        <v>482</v>
      </c>
      <c r="G37" s="86">
        <v>0.54149999999999998</v>
      </c>
      <c r="H37" s="90">
        <f t="shared" si="0"/>
        <v>3.4999999999999476E-3</v>
      </c>
      <c r="I37" s="100">
        <f t="shared" si="1"/>
        <v>3.2023132210557519E-2</v>
      </c>
      <c r="J37" s="100">
        <f t="shared" si="2"/>
        <v>0.1092959919406651</v>
      </c>
      <c r="K37" s="100">
        <f t="shared" si="3"/>
        <v>0.91296772552037364</v>
      </c>
      <c r="L37" s="109" t="str">
        <f t="shared" si="4"/>
        <v>No</v>
      </c>
      <c r="M37" s="115">
        <f t="shared" si="5"/>
        <v>1</v>
      </c>
      <c r="N37" s="115">
        <v>1</v>
      </c>
    </row>
    <row r="38" spans="1:22" s="53" customFormat="1" ht="77.25" hidden="1" customHeight="1" thickBot="1" x14ac:dyDescent="0.3">
      <c r="A38" s="53" t="s">
        <v>114</v>
      </c>
      <c r="B38" s="429"/>
      <c r="C38" s="65" t="s">
        <v>174</v>
      </c>
      <c r="D38" s="77">
        <v>487</v>
      </c>
      <c r="E38" s="87">
        <v>0.46200000000000002</v>
      </c>
      <c r="F38" s="77">
        <v>483</v>
      </c>
      <c r="G38" s="87">
        <v>0.47199999999999998</v>
      </c>
      <c r="H38" s="90">
        <f t="shared" si="0"/>
        <v>9.9999999999999534E-3</v>
      </c>
      <c r="I38" s="101">
        <f t="shared" si="1"/>
        <v>3.2036808290844272E-2</v>
      </c>
      <c r="J38" s="101">
        <f t="shared" si="2"/>
        <v>0.31214095702716527</v>
      </c>
      <c r="K38" s="101">
        <f t="shared" si="3"/>
        <v>0.75493340118852448</v>
      </c>
      <c r="L38" s="109" t="str">
        <f t="shared" si="4"/>
        <v>No</v>
      </c>
      <c r="M38" s="115">
        <f t="shared" si="5"/>
        <v>1</v>
      </c>
      <c r="N38" s="115">
        <v>1</v>
      </c>
    </row>
    <row r="39" spans="1:22" s="53" customFormat="1" ht="77.25" hidden="1" customHeight="1" thickBot="1" x14ac:dyDescent="0.3">
      <c r="A39" s="53" t="s">
        <v>114</v>
      </c>
      <c r="B39" s="430"/>
      <c r="C39" s="68" t="s">
        <v>175</v>
      </c>
      <c r="D39" s="78">
        <v>487</v>
      </c>
      <c r="E39" s="88">
        <v>0.48870000000000002</v>
      </c>
      <c r="F39" s="78">
        <v>485</v>
      </c>
      <c r="G39" s="88">
        <v>0.51339999999999997</v>
      </c>
      <c r="H39" s="90">
        <f t="shared" si="0"/>
        <v>2.4699999999999944E-2</v>
      </c>
      <c r="I39" s="102">
        <f t="shared" si="1"/>
        <v>3.2065222846312198E-2</v>
      </c>
      <c r="J39" s="102">
        <f t="shared" si="2"/>
        <v>0.77030495369972696</v>
      </c>
      <c r="K39" s="102">
        <f t="shared" si="3"/>
        <v>0.44111901858914049</v>
      </c>
      <c r="L39" s="109" t="str">
        <f t="shared" si="4"/>
        <v>No</v>
      </c>
      <c r="M39" s="115">
        <f t="shared" si="5"/>
        <v>1</v>
      </c>
      <c r="N39" s="115">
        <v>1</v>
      </c>
    </row>
    <row r="40" spans="1:22" s="60" customFormat="1" ht="77.25" hidden="1" customHeight="1" thickBot="1" x14ac:dyDescent="0.3">
      <c r="B40" s="62"/>
      <c r="C40" s="69" t="s">
        <v>176</v>
      </c>
      <c r="D40" s="79"/>
      <c r="E40" s="89"/>
      <c r="F40" s="79"/>
      <c r="G40" s="89"/>
      <c r="H40" s="93"/>
      <c r="I40" s="103"/>
      <c r="J40" s="103"/>
      <c r="K40" s="103"/>
      <c r="L40" s="110"/>
      <c r="M40" s="116"/>
      <c r="N40" s="116">
        <f>SUM(N34:N39)</f>
        <v>6</v>
      </c>
    </row>
    <row r="41" spans="1:22" s="53" customFormat="1" ht="77.25" hidden="1" customHeight="1" thickBot="1" x14ac:dyDescent="0.3">
      <c r="A41" s="53" t="s">
        <v>115</v>
      </c>
      <c r="B41" s="428" t="s">
        <v>170</v>
      </c>
      <c r="C41" s="67" t="s">
        <v>173</v>
      </c>
      <c r="D41" s="80">
        <v>1050</v>
      </c>
      <c r="E41" s="90">
        <v>0.78949999999999998</v>
      </c>
      <c r="F41" s="80">
        <v>1285</v>
      </c>
      <c r="G41" s="90">
        <v>0.7611</v>
      </c>
      <c r="H41" s="90">
        <f t="shared" si="0"/>
        <v>-2.8399999999999981E-2</v>
      </c>
      <c r="I41" s="104">
        <f t="shared" ref="I41:I46" si="6">SQRT(E41*(1-E41)/D41+G41*(1-G41)/F41)</f>
        <v>1.7314023213908705E-2</v>
      </c>
      <c r="J41" s="104">
        <f t="shared" ref="J41:J46" si="7">H41/I41</f>
        <v>-1.6402888946796426</v>
      </c>
      <c r="K41" s="104">
        <f t="shared" ref="K41:K46" si="8">2*(1-NORMDIST(ABS(J41),0,1,TRUE))</f>
        <v>0.10094511356177072</v>
      </c>
      <c r="L41" s="109" t="str">
        <f t="shared" ref="L41:L46" si="9">IF(K41="","",IF(K41&lt;=0.05, "Yes", "No"))</f>
        <v>No</v>
      </c>
      <c r="M41" s="115">
        <f t="shared" ref="M41:M46" si="10">IF(H41&gt;=0, 1, 0)</f>
        <v>0</v>
      </c>
      <c r="N41" s="115">
        <v>1</v>
      </c>
    </row>
    <row r="42" spans="1:22" s="53" customFormat="1" ht="77.25" hidden="1" customHeight="1" thickBot="1" x14ac:dyDescent="0.3">
      <c r="A42" s="53" t="s">
        <v>115</v>
      </c>
      <c r="B42" s="429"/>
      <c r="C42" s="65" t="s">
        <v>174</v>
      </c>
      <c r="D42" s="74">
        <v>1728</v>
      </c>
      <c r="E42" s="84">
        <v>0.82989999999999997</v>
      </c>
      <c r="F42" s="74">
        <v>1962</v>
      </c>
      <c r="G42" s="84">
        <v>0.82110000000000005</v>
      </c>
      <c r="H42" s="90">
        <f t="shared" si="0"/>
        <v>-8.799999999999919E-3</v>
      </c>
      <c r="I42" s="98">
        <f t="shared" si="6"/>
        <v>1.2512521919956847E-2</v>
      </c>
      <c r="J42" s="98">
        <f t="shared" si="7"/>
        <v>-0.70329547123225089</v>
      </c>
      <c r="K42" s="98">
        <f t="shared" si="8"/>
        <v>0.48187163241438213</v>
      </c>
      <c r="L42" s="109" t="str">
        <f t="shared" si="9"/>
        <v>No</v>
      </c>
      <c r="M42" s="115">
        <f t="shared" si="10"/>
        <v>0</v>
      </c>
      <c r="N42" s="115">
        <v>1</v>
      </c>
    </row>
    <row r="43" spans="1:22" s="53" customFormat="1" ht="77.25" hidden="1" customHeight="1" thickBot="1" x14ac:dyDescent="0.3">
      <c r="A43" s="53" t="s">
        <v>115</v>
      </c>
      <c r="B43" s="431"/>
      <c r="C43" s="66" t="s">
        <v>175</v>
      </c>
      <c r="D43" s="75">
        <v>1214</v>
      </c>
      <c r="E43" s="85">
        <v>0.84099999999999997</v>
      </c>
      <c r="F43" s="75">
        <v>1383</v>
      </c>
      <c r="G43" s="85">
        <v>0.82569999999999999</v>
      </c>
      <c r="H43" s="90">
        <f t="shared" si="0"/>
        <v>-1.529999999999998E-2</v>
      </c>
      <c r="I43" s="99">
        <f t="shared" si="6"/>
        <v>1.4635939394041626E-2</v>
      </c>
      <c r="J43" s="99">
        <f t="shared" si="7"/>
        <v>-1.0453719155347621</v>
      </c>
      <c r="K43" s="99">
        <f t="shared" si="8"/>
        <v>0.2958511115190039</v>
      </c>
      <c r="L43" s="109" t="str">
        <f t="shared" si="9"/>
        <v>No</v>
      </c>
      <c r="M43" s="115">
        <f t="shared" si="10"/>
        <v>0</v>
      </c>
      <c r="N43" s="115">
        <v>1</v>
      </c>
    </row>
    <row r="44" spans="1:22" s="53" customFormat="1" ht="77.25" hidden="1" customHeight="1" thickBot="1" x14ac:dyDescent="0.3">
      <c r="A44" s="53" t="s">
        <v>115</v>
      </c>
      <c r="B44" s="428" t="s">
        <v>171</v>
      </c>
      <c r="C44" s="67" t="s">
        <v>173</v>
      </c>
      <c r="D44" s="76">
        <v>1929</v>
      </c>
      <c r="E44" s="86">
        <v>0.74809999999999999</v>
      </c>
      <c r="F44" s="76">
        <v>2165</v>
      </c>
      <c r="G44" s="86">
        <v>0.71220000000000006</v>
      </c>
      <c r="H44" s="90">
        <f t="shared" si="0"/>
        <v>-3.5899999999999932E-2</v>
      </c>
      <c r="I44" s="100">
        <f t="shared" si="6"/>
        <v>1.3869611908511966E-2</v>
      </c>
      <c r="J44" s="100">
        <f t="shared" si="7"/>
        <v>-2.5883925402388241</v>
      </c>
      <c r="K44" s="100">
        <f t="shared" si="8"/>
        <v>9.6425027692095266E-3</v>
      </c>
      <c r="L44" s="109" t="str">
        <f t="shared" si="9"/>
        <v>Yes</v>
      </c>
      <c r="M44" s="115">
        <f t="shared" si="10"/>
        <v>0</v>
      </c>
      <c r="N44" s="115">
        <v>0</v>
      </c>
    </row>
    <row r="45" spans="1:22" s="53" customFormat="1" ht="77.25" hidden="1" customHeight="1" thickBot="1" x14ac:dyDescent="0.3">
      <c r="A45" s="53" t="s">
        <v>115</v>
      </c>
      <c r="B45" s="429"/>
      <c r="C45" s="65" t="s">
        <v>174</v>
      </c>
      <c r="D45" s="77">
        <v>1939</v>
      </c>
      <c r="E45" s="87">
        <v>0.54720000000000002</v>
      </c>
      <c r="F45" s="77">
        <v>2168</v>
      </c>
      <c r="G45" s="87">
        <v>0.52949999999999997</v>
      </c>
      <c r="H45" s="90">
        <f t="shared" si="0"/>
        <v>-1.7700000000000049E-2</v>
      </c>
      <c r="I45" s="101">
        <f t="shared" si="6"/>
        <v>1.5578694500134771E-2</v>
      </c>
      <c r="J45" s="101">
        <f t="shared" si="7"/>
        <v>-1.1361670902428267</v>
      </c>
      <c r="K45" s="101">
        <f t="shared" si="8"/>
        <v>0.25588664094321478</v>
      </c>
      <c r="L45" s="109" t="str">
        <f t="shared" si="9"/>
        <v>No</v>
      </c>
      <c r="M45" s="115">
        <f t="shared" si="10"/>
        <v>0</v>
      </c>
      <c r="N45" s="115">
        <v>1</v>
      </c>
    </row>
    <row r="46" spans="1:22" s="53" customFormat="1" ht="77.25" hidden="1" customHeight="1" thickBot="1" x14ac:dyDescent="0.3">
      <c r="A46" s="53" t="s">
        <v>115</v>
      </c>
      <c r="B46" s="430"/>
      <c r="C46" s="68" t="s">
        <v>175</v>
      </c>
      <c r="D46" s="78">
        <v>1932</v>
      </c>
      <c r="E46" s="88">
        <v>0.76239999999999997</v>
      </c>
      <c r="F46" s="78">
        <v>2167</v>
      </c>
      <c r="G46" s="88">
        <v>0.73509999999999998</v>
      </c>
      <c r="H46" s="90">
        <f t="shared" si="0"/>
        <v>-2.7299999999999991E-2</v>
      </c>
      <c r="I46" s="102">
        <f t="shared" si="6"/>
        <v>1.3550705738051028E-2</v>
      </c>
      <c r="J46" s="102">
        <f t="shared" si="7"/>
        <v>-2.014655216321338</v>
      </c>
      <c r="K46" s="102">
        <f t="shared" si="8"/>
        <v>4.3940787645430968E-2</v>
      </c>
      <c r="L46" s="109" t="str">
        <f t="shared" si="9"/>
        <v>Yes</v>
      </c>
      <c r="M46" s="115">
        <f t="shared" si="10"/>
        <v>0</v>
      </c>
      <c r="N46" s="115">
        <v>0</v>
      </c>
    </row>
    <row r="47" spans="1:22" s="60" customFormat="1" ht="77.25" hidden="1" customHeight="1" thickBot="1" x14ac:dyDescent="0.3">
      <c r="B47" s="62"/>
      <c r="C47" s="69" t="s">
        <v>176</v>
      </c>
      <c r="D47" s="79"/>
      <c r="E47" s="89"/>
      <c r="F47" s="79"/>
      <c r="G47" s="89"/>
      <c r="H47" s="93"/>
      <c r="I47" s="103"/>
      <c r="J47" s="103"/>
      <c r="K47" s="103"/>
      <c r="L47" s="110"/>
      <c r="M47" s="116"/>
      <c r="N47" s="116">
        <f>SUM(N41:N46)</f>
        <v>4</v>
      </c>
    </row>
    <row r="48" spans="1:22" s="53" customFormat="1" ht="77.25" hidden="1" customHeight="1" thickBot="1" x14ac:dyDescent="0.3">
      <c r="A48" s="53" t="s">
        <v>116</v>
      </c>
      <c r="B48" s="428" t="s">
        <v>170</v>
      </c>
      <c r="C48" s="67" t="s">
        <v>173</v>
      </c>
      <c r="D48" s="80">
        <v>1338</v>
      </c>
      <c r="E48" s="90">
        <v>0.58589999999999998</v>
      </c>
      <c r="F48" s="80">
        <v>1462</v>
      </c>
      <c r="G48" s="90">
        <v>0.68130000000000002</v>
      </c>
      <c r="H48" s="90">
        <f t="shared" si="0"/>
        <v>9.540000000000004E-2</v>
      </c>
      <c r="I48" s="104">
        <f t="shared" ref="I48:I53" si="11">SQRT(E48*(1-E48)/D48+G48*(1-G48)/F48)</f>
        <v>1.8161695325500458E-2</v>
      </c>
      <c r="J48" s="104">
        <f t="shared" ref="J48:J53" si="12">H48/I48</f>
        <v>5.2528135887210317</v>
      </c>
      <c r="K48" s="104">
        <f t="shared" ref="K48:K53" si="13">2*(1-NORMDIST(ABS(J48),0,1,TRUE))</f>
        <v>1.4979312346063978E-7</v>
      </c>
      <c r="L48" s="109" t="str">
        <f t="shared" ref="L48:L53" si="14">IF(K48="","",IF(K48&lt;=0.05, "Yes", "No"))</f>
        <v>Yes</v>
      </c>
      <c r="M48" s="115">
        <f t="shared" ref="M48:M53" si="15">IF(H48&gt;=0, 1, 0)</f>
        <v>1</v>
      </c>
      <c r="N48" s="115">
        <v>2</v>
      </c>
    </row>
    <row r="49" spans="1:16" s="53" customFormat="1" ht="77.25" hidden="1" customHeight="1" thickBot="1" x14ac:dyDescent="0.3">
      <c r="A49" s="53" t="s">
        <v>116</v>
      </c>
      <c r="B49" s="429"/>
      <c r="C49" s="65" t="s">
        <v>174</v>
      </c>
      <c r="D49" s="74">
        <v>1338</v>
      </c>
      <c r="E49" s="84">
        <v>0.59570000000000001</v>
      </c>
      <c r="F49" s="74">
        <v>1458</v>
      </c>
      <c r="G49" s="84">
        <v>0.68520000000000003</v>
      </c>
      <c r="H49" s="90">
        <f t="shared" si="0"/>
        <v>8.9500000000000024E-2</v>
      </c>
      <c r="I49" s="98">
        <f t="shared" si="11"/>
        <v>1.8109228968058371E-2</v>
      </c>
      <c r="J49" s="98">
        <f t="shared" si="12"/>
        <v>4.9422313980271024</v>
      </c>
      <c r="K49" s="98">
        <f t="shared" si="13"/>
        <v>7.7233470263671222E-7</v>
      </c>
      <c r="L49" s="109" t="str">
        <f t="shared" si="14"/>
        <v>Yes</v>
      </c>
      <c r="M49" s="115">
        <f t="shared" si="15"/>
        <v>1</v>
      </c>
      <c r="N49" s="115">
        <v>2</v>
      </c>
    </row>
    <row r="50" spans="1:16" s="53" customFormat="1" ht="77.25" hidden="1" customHeight="1" thickBot="1" x14ac:dyDescent="0.3">
      <c r="A50" s="53" t="s">
        <v>116</v>
      </c>
      <c r="B50" s="431"/>
      <c r="C50" s="66" t="s">
        <v>175</v>
      </c>
      <c r="D50" s="75">
        <v>1326</v>
      </c>
      <c r="E50" s="85">
        <v>0.57540000000000002</v>
      </c>
      <c r="F50" s="75">
        <v>1450</v>
      </c>
      <c r="G50" s="85">
        <v>0.66279999999999994</v>
      </c>
      <c r="H50" s="90">
        <f t="shared" si="0"/>
        <v>8.7399999999999922E-2</v>
      </c>
      <c r="I50" s="99">
        <f t="shared" si="11"/>
        <v>1.8395238107213076E-2</v>
      </c>
      <c r="J50" s="99">
        <f t="shared" si="12"/>
        <v>4.7512296111964396</v>
      </c>
      <c r="K50" s="99">
        <f t="shared" si="13"/>
        <v>2.021833861665101E-6</v>
      </c>
      <c r="L50" s="109" t="str">
        <f t="shared" si="14"/>
        <v>Yes</v>
      </c>
      <c r="M50" s="115">
        <f t="shared" si="15"/>
        <v>1</v>
      </c>
      <c r="N50" s="115">
        <v>2</v>
      </c>
    </row>
    <row r="51" spans="1:16" s="53" customFormat="1" ht="77.25" hidden="1" customHeight="1" thickBot="1" x14ac:dyDescent="0.3">
      <c r="A51" s="53" t="s">
        <v>116</v>
      </c>
      <c r="B51" s="428" t="s">
        <v>171</v>
      </c>
      <c r="C51" s="67" t="s">
        <v>173</v>
      </c>
      <c r="D51" s="76">
        <v>1463</v>
      </c>
      <c r="E51" s="86">
        <v>0.22489999999999999</v>
      </c>
      <c r="F51" s="76">
        <v>1690</v>
      </c>
      <c r="G51" s="86">
        <v>0.32490000000000002</v>
      </c>
      <c r="H51" s="90">
        <f t="shared" si="0"/>
        <v>0.10000000000000003</v>
      </c>
      <c r="I51" s="100">
        <f t="shared" si="11"/>
        <v>1.5777813410512199E-2</v>
      </c>
      <c r="J51" s="100">
        <f t="shared" si="12"/>
        <v>6.338013855162818</v>
      </c>
      <c r="K51" s="100">
        <f t="shared" si="13"/>
        <v>2.3274582261478827E-10</v>
      </c>
      <c r="L51" s="109" t="str">
        <f t="shared" si="14"/>
        <v>Yes</v>
      </c>
      <c r="M51" s="115">
        <f t="shared" si="15"/>
        <v>1</v>
      </c>
      <c r="N51" s="115">
        <v>2</v>
      </c>
    </row>
    <row r="52" spans="1:16" s="53" customFormat="1" ht="77.25" hidden="1" customHeight="1" thickBot="1" x14ac:dyDescent="0.3">
      <c r="A52" s="53" t="s">
        <v>116</v>
      </c>
      <c r="B52" s="429"/>
      <c r="C52" s="65" t="s">
        <v>174</v>
      </c>
      <c r="D52" s="77">
        <v>1463</v>
      </c>
      <c r="E52" s="87">
        <v>0.2092</v>
      </c>
      <c r="F52" s="77">
        <v>1690</v>
      </c>
      <c r="G52" s="87">
        <v>0.34320000000000001</v>
      </c>
      <c r="H52" s="90">
        <f t="shared" si="0"/>
        <v>0.13400000000000001</v>
      </c>
      <c r="I52" s="101">
        <f t="shared" si="11"/>
        <v>1.5699059152655088E-2</v>
      </c>
      <c r="J52" s="101">
        <f t="shared" si="12"/>
        <v>8.5355433530765055</v>
      </c>
      <c r="K52" s="101">
        <f t="shared" si="13"/>
        <v>0</v>
      </c>
      <c r="L52" s="109" t="str">
        <f t="shared" si="14"/>
        <v>Yes</v>
      </c>
      <c r="M52" s="115">
        <f t="shared" si="15"/>
        <v>1</v>
      </c>
      <c r="N52" s="115">
        <v>2</v>
      </c>
    </row>
    <row r="53" spans="1:16" s="53" customFormat="1" ht="77.25" hidden="1" customHeight="1" thickBot="1" x14ac:dyDescent="0.3">
      <c r="A53" s="53" t="s">
        <v>116</v>
      </c>
      <c r="B53" s="430"/>
      <c r="C53" s="68" t="s">
        <v>175</v>
      </c>
      <c r="D53" s="78">
        <v>1463</v>
      </c>
      <c r="E53" s="88">
        <v>0.23100000000000001</v>
      </c>
      <c r="F53" s="78">
        <v>1690</v>
      </c>
      <c r="G53" s="88">
        <v>0.34499999999999997</v>
      </c>
      <c r="H53" s="90">
        <f t="shared" si="0"/>
        <v>0.11399999999999996</v>
      </c>
      <c r="I53" s="102">
        <f t="shared" si="11"/>
        <v>1.5972916777566275E-2</v>
      </c>
      <c r="J53" s="102">
        <f t="shared" si="12"/>
        <v>7.1370809469258161</v>
      </c>
      <c r="K53" s="102">
        <f t="shared" si="13"/>
        <v>9.5323748894315941E-13</v>
      </c>
      <c r="L53" s="109" t="str">
        <f t="shared" si="14"/>
        <v>Yes</v>
      </c>
      <c r="M53" s="115">
        <f t="shared" si="15"/>
        <v>1</v>
      </c>
      <c r="N53" s="115">
        <v>2</v>
      </c>
    </row>
    <row r="54" spans="1:16" s="60" customFormat="1" ht="77.25" hidden="1" customHeight="1" thickBot="1" x14ac:dyDescent="0.3">
      <c r="B54" s="62"/>
      <c r="C54" s="69" t="s">
        <v>176</v>
      </c>
      <c r="D54" s="79"/>
      <c r="E54" s="89"/>
      <c r="F54" s="79"/>
      <c r="G54" s="89"/>
      <c r="H54" s="93"/>
      <c r="I54" s="103"/>
      <c r="J54" s="103"/>
      <c r="K54" s="103"/>
      <c r="L54" s="110"/>
      <c r="M54" s="116"/>
      <c r="N54" s="116">
        <f>SUM(N48:N53)</f>
        <v>12</v>
      </c>
    </row>
    <row r="55" spans="1:16" s="53" customFormat="1" ht="77.25" hidden="1" customHeight="1" thickBot="1" x14ac:dyDescent="0.3">
      <c r="A55" s="53" t="s">
        <v>117</v>
      </c>
      <c r="B55" s="428" t="s">
        <v>170</v>
      </c>
      <c r="C55" s="67" t="s">
        <v>177</v>
      </c>
      <c r="D55" s="80">
        <v>39</v>
      </c>
      <c r="E55" s="90">
        <v>1</v>
      </c>
      <c r="F55" s="80">
        <v>37</v>
      </c>
      <c r="G55" s="90">
        <v>1</v>
      </c>
      <c r="H55" s="90">
        <f t="shared" si="0"/>
        <v>0</v>
      </c>
      <c r="I55" s="100">
        <f t="shared" ref="I55:I118" si="16">SQRT(E55*(1-E55)/D55+G55*(1-G55)/F55)</f>
        <v>0</v>
      </c>
      <c r="J55" s="100" t="e">
        <f t="shared" ref="J55:J118" si="17">H55/I55</f>
        <v>#DIV/0!</v>
      </c>
      <c r="K55" s="100" t="e">
        <f t="shared" ref="K55:K118" si="18">2*(1-NORMDIST(ABS(J55),0,1,TRUE))</f>
        <v>#DIV/0!</v>
      </c>
      <c r="L55" s="109" t="e">
        <f t="shared" ref="L55:L118" si="19">IF(K55="","",IF(K55&lt;=0.05, "Yes", "No"))</f>
        <v>#DIV/0!</v>
      </c>
      <c r="M55" s="115">
        <f t="shared" ref="M55:M118" si="20">IF(H55&gt;=0, 1, 0)</f>
        <v>1</v>
      </c>
      <c r="N55" s="115">
        <v>1</v>
      </c>
      <c r="O55" s="422" t="s">
        <v>191</v>
      </c>
      <c r="P55" s="423"/>
    </row>
    <row r="56" spans="1:16" s="53" customFormat="1" ht="77.25" hidden="1" customHeight="1" thickBot="1" x14ac:dyDescent="0.3">
      <c r="A56" s="53" t="s">
        <v>117</v>
      </c>
      <c r="B56" s="429" t="s">
        <v>170</v>
      </c>
      <c r="C56" s="65" t="s">
        <v>178</v>
      </c>
      <c r="D56" s="74">
        <v>35</v>
      </c>
      <c r="E56" s="84">
        <v>1</v>
      </c>
      <c r="F56" s="74">
        <v>36</v>
      </c>
      <c r="G56" s="84">
        <v>1</v>
      </c>
      <c r="H56" s="90">
        <f t="shared" si="0"/>
        <v>0</v>
      </c>
      <c r="I56" s="101">
        <f t="shared" si="16"/>
        <v>0</v>
      </c>
      <c r="J56" s="101" t="e">
        <f t="shared" si="17"/>
        <v>#DIV/0!</v>
      </c>
      <c r="K56" s="101" t="e">
        <f t="shared" si="18"/>
        <v>#DIV/0!</v>
      </c>
      <c r="L56" s="109" t="e">
        <f t="shared" si="19"/>
        <v>#DIV/0!</v>
      </c>
      <c r="M56" s="115">
        <f t="shared" si="20"/>
        <v>1</v>
      </c>
      <c r="N56" s="115">
        <v>1</v>
      </c>
      <c r="O56" s="422"/>
      <c r="P56" s="423"/>
    </row>
    <row r="57" spans="1:16" s="53" customFormat="1" ht="77.25" hidden="1" customHeight="1" thickBot="1" x14ac:dyDescent="0.3">
      <c r="A57" s="53" t="s">
        <v>117</v>
      </c>
      <c r="B57" s="430" t="s">
        <v>170</v>
      </c>
      <c r="C57" s="68" t="s">
        <v>179</v>
      </c>
      <c r="D57" s="75">
        <v>35</v>
      </c>
      <c r="E57" s="85">
        <v>1</v>
      </c>
      <c r="F57" s="75">
        <v>38</v>
      </c>
      <c r="G57" s="85">
        <v>1</v>
      </c>
      <c r="H57" s="90">
        <f t="shared" si="0"/>
        <v>0</v>
      </c>
      <c r="I57" s="102">
        <f t="shared" si="16"/>
        <v>0</v>
      </c>
      <c r="J57" s="102" t="e">
        <f t="shared" si="17"/>
        <v>#DIV/0!</v>
      </c>
      <c r="K57" s="102" t="e">
        <f t="shared" si="18"/>
        <v>#DIV/0!</v>
      </c>
      <c r="L57" s="109" t="e">
        <f t="shared" si="19"/>
        <v>#DIV/0!</v>
      </c>
      <c r="M57" s="115">
        <f t="shared" si="20"/>
        <v>1</v>
      </c>
      <c r="N57" s="115">
        <v>1</v>
      </c>
      <c r="O57" s="422"/>
      <c r="P57" s="423"/>
    </row>
    <row r="58" spans="1:16" s="53" customFormat="1" ht="77.25" hidden="1" customHeight="1" thickBot="1" x14ac:dyDescent="0.3">
      <c r="A58" s="53" t="s">
        <v>117</v>
      </c>
      <c r="B58" s="428" t="s">
        <v>171</v>
      </c>
      <c r="C58" s="67" t="s">
        <v>177</v>
      </c>
      <c r="D58" s="76">
        <v>44</v>
      </c>
      <c r="E58" s="86">
        <v>0.90910000000000002</v>
      </c>
      <c r="F58" s="76">
        <v>42</v>
      </c>
      <c r="G58" s="86">
        <v>0.88100000000000001</v>
      </c>
      <c r="H58" s="90">
        <f t="shared" si="0"/>
        <v>-2.8100000000000014E-2</v>
      </c>
      <c r="I58" s="100">
        <f t="shared" si="16"/>
        <v>6.6138374800202945E-2</v>
      </c>
      <c r="J58" s="100">
        <f t="shared" si="17"/>
        <v>-0.42486680516246655</v>
      </c>
      <c r="K58" s="100">
        <f t="shared" si="18"/>
        <v>0.67093377435905088</v>
      </c>
      <c r="L58" s="109" t="str">
        <f t="shared" si="19"/>
        <v>No</v>
      </c>
      <c r="M58" s="115">
        <f t="shared" si="20"/>
        <v>0</v>
      </c>
      <c r="N58" s="115">
        <v>1</v>
      </c>
    </row>
    <row r="59" spans="1:16" s="53" customFormat="1" ht="77.25" hidden="1" customHeight="1" thickBot="1" x14ac:dyDescent="0.3">
      <c r="A59" s="53" t="s">
        <v>117</v>
      </c>
      <c r="B59" s="429" t="s">
        <v>171</v>
      </c>
      <c r="C59" s="65" t="s">
        <v>178</v>
      </c>
      <c r="D59" s="77">
        <v>44</v>
      </c>
      <c r="E59" s="87">
        <v>0.88639999999999997</v>
      </c>
      <c r="F59" s="77">
        <v>43</v>
      </c>
      <c r="G59" s="87">
        <v>0.88370000000000004</v>
      </c>
      <c r="H59" s="90">
        <f t="shared" si="0"/>
        <v>-2.6999999999999247E-3</v>
      </c>
      <c r="I59" s="101">
        <f t="shared" si="16"/>
        <v>6.8400466876489777E-2</v>
      </c>
      <c r="J59" s="101">
        <f t="shared" si="17"/>
        <v>-3.9473414777640263E-2</v>
      </c>
      <c r="K59" s="101">
        <f t="shared" si="18"/>
        <v>0.96851294892627493</v>
      </c>
      <c r="L59" s="109" t="str">
        <f t="shared" si="19"/>
        <v>No</v>
      </c>
      <c r="M59" s="115">
        <f t="shared" si="20"/>
        <v>0</v>
      </c>
      <c r="N59" s="115">
        <v>1</v>
      </c>
    </row>
    <row r="60" spans="1:16" s="53" customFormat="1" ht="77.25" hidden="1" customHeight="1" thickBot="1" x14ac:dyDescent="0.3">
      <c r="A60" s="53" t="s">
        <v>117</v>
      </c>
      <c r="B60" s="430" t="s">
        <v>171</v>
      </c>
      <c r="C60" s="68" t="s">
        <v>179</v>
      </c>
      <c r="D60" s="78">
        <v>44</v>
      </c>
      <c r="E60" s="88">
        <v>0.88639999999999997</v>
      </c>
      <c r="F60" s="78">
        <v>42</v>
      </c>
      <c r="G60" s="88">
        <v>0.85709999999999997</v>
      </c>
      <c r="H60" s="90">
        <f t="shared" si="0"/>
        <v>-2.9299999999999993E-2</v>
      </c>
      <c r="I60" s="102">
        <f t="shared" si="16"/>
        <v>7.2143636938051245E-2</v>
      </c>
      <c r="J60" s="102">
        <f t="shared" si="17"/>
        <v>-0.40613422393938226</v>
      </c>
      <c r="K60" s="102">
        <f t="shared" si="18"/>
        <v>0.68464398052085551</v>
      </c>
      <c r="L60" s="109" t="str">
        <f t="shared" si="19"/>
        <v>No</v>
      </c>
      <c r="M60" s="115">
        <f t="shared" si="20"/>
        <v>0</v>
      </c>
      <c r="N60" s="115">
        <v>1</v>
      </c>
    </row>
    <row r="61" spans="1:16" s="60" customFormat="1" ht="77.25" hidden="1" customHeight="1" thickBot="1" x14ac:dyDescent="0.3">
      <c r="B61" s="62"/>
      <c r="C61" s="69" t="s">
        <v>176</v>
      </c>
      <c r="D61" s="79"/>
      <c r="E61" s="89"/>
      <c r="F61" s="79"/>
      <c r="G61" s="89"/>
      <c r="H61" s="93"/>
      <c r="I61" s="103"/>
      <c r="J61" s="103"/>
      <c r="K61" s="103"/>
      <c r="L61" s="110"/>
      <c r="M61" s="116"/>
      <c r="N61" s="116">
        <f>SUM(N55:N60)</f>
        <v>6</v>
      </c>
    </row>
    <row r="62" spans="1:16" s="53" customFormat="1" ht="77.25" hidden="1" customHeight="1" thickBot="1" x14ac:dyDescent="0.3">
      <c r="A62" s="53" t="s">
        <v>118</v>
      </c>
      <c r="B62" s="428" t="s">
        <v>170</v>
      </c>
      <c r="C62" s="67" t="s">
        <v>177</v>
      </c>
      <c r="D62" s="80">
        <v>560</v>
      </c>
      <c r="E62" s="90">
        <v>0.68389999999999995</v>
      </c>
      <c r="F62" s="80">
        <v>941</v>
      </c>
      <c r="G62" s="90">
        <v>0.71730000000000005</v>
      </c>
      <c r="H62" s="90">
        <f t="shared" si="0"/>
        <v>3.3400000000000096E-2</v>
      </c>
      <c r="I62" s="100">
        <f t="shared" si="16"/>
        <v>2.4526150017288958E-2</v>
      </c>
      <c r="J62" s="100">
        <f t="shared" si="17"/>
        <v>1.3618117795273939</v>
      </c>
      <c r="K62" s="100">
        <f t="shared" si="18"/>
        <v>0.17325729311242233</v>
      </c>
      <c r="L62" s="109" t="str">
        <f t="shared" si="19"/>
        <v>No</v>
      </c>
      <c r="M62" s="115">
        <f t="shared" si="20"/>
        <v>1</v>
      </c>
      <c r="N62" s="115">
        <v>1</v>
      </c>
    </row>
    <row r="63" spans="1:16" s="53" customFormat="1" ht="77.25" hidden="1" customHeight="1" thickBot="1" x14ac:dyDescent="0.3">
      <c r="A63" s="53" t="s">
        <v>118</v>
      </c>
      <c r="B63" s="429" t="s">
        <v>170</v>
      </c>
      <c r="C63" s="65" t="s">
        <v>178</v>
      </c>
      <c r="D63" s="74">
        <v>631</v>
      </c>
      <c r="E63" s="84">
        <v>0.73380000000000001</v>
      </c>
      <c r="F63" s="74">
        <v>1012</v>
      </c>
      <c r="G63" s="84">
        <v>0.747</v>
      </c>
      <c r="H63" s="90">
        <f t="shared" si="0"/>
        <v>1.319999999999999E-2</v>
      </c>
      <c r="I63" s="101">
        <f t="shared" si="16"/>
        <v>2.2278201024487597E-2</v>
      </c>
      <c r="J63" s="101">
        <f t="shared" si="17"/>
        <v>0.59250744642670683</v>
      </c>
      <c r="K63" s="101">
        <f t="shared" si="18"/>
        <v>0.55351083584833183</v>
      </c>
      <c r="L63" s="109" t="str">
        <f t="shared" si="19"/>
        <v>No</v>
      </c>
      <c r="M63" s="115">
        <f t="shared" si="20"/>
        <v>1</v>
      </c>
      <c r="N63" s="115">
        <v>1</v>
      </c>
    </row>
    <row r="64" spans="1:16" s="53" customFormat="1" ht="77.25" hidden="1" customHeight="1" thickBot="1" x14ac:dyDescent="0.3">
      <c r="A64" s="53" t="s">
        <v>118</v>
      </c>
      <c r="B64" s="430" t="s">
        <v>170</v>
      </c>
      <c r="C64" s="68" t="s">
        <v>179</v>
      </c>
      <c r="D64" s="75">
        <v>608</v>
      </c>
      <c r="E64" s="85">
        <v>0.71050000000000002</v>
      </c>
      <c r="F64" s="75">
        <v>1058</v>
      </c>
      <c r="G64" s="85">
        <v>0.75900000000000001</v>
      </c>
      <c r="H64" s="90">
        <f t="shared" si="0"/>
        <v>4.8499999999999988E-2</v>
      </c>
      <c r="I64" s="102">
        <f t="shared" si="16"/>
        <v>2.2609661965988063E-2</v>
      </c>
      <c r="J64" s="102">
        <f t="shared" si="17"/>
        <v>2.1451006243684234</v>
      </c>
      <c r="K64" s="102">
        <f t="shared" si="18"/>
        <v>3.1944802537365202E-2</v>
      </c>
      <c r="L64" s="109" t="str">
        <f t="shared" si="19"/>
        <v>Yes</v>
      </c>
      <c r="M64" s="115">
        <f t="shared" si="20"/>
        <v>1</v>
      </c>
      <c r="N64" s="115">
        <v>2</v>
      </c>
    </row>
    <row r="65" spans="1:14" s="53" customFormat="1" ht="77.25" hidden="1" customHeight="1" thickBot="1" x14ac:dyDescent="0.3">
      <c r="A65" s="53" t="s">
        <v>118</v>
      </c>
      <c r="B65" s="428" t="s">
        <v>171</v>
      </c>
      <c r="C65" s="67" t="s">
        <v>177</v>
      </c>
      <c r="D65" s="76">
        <v>746</v>
      </c>
      <c r="E65" s="86">
        <v>0.57509999999999994</v>
      </c>
      <c r="F65" s="76">
        <v>1241</v>
      </c>
      <c r="G65" s="86">
        <v>0.55359999999999998</v>
      </c>
      <c r="H65" s="90">
        <f t="shared" si="0"/>
        <v>-2.1499999999999964E-2</v>
      </c>
      <c r="I65" s="100">
        <f t="shared" si="16"/>
        <v>2.2949852183421295E-2</v>
      </c>
      <c r="J65" s="100">
        <f t="shared" si="17"/>
        <v>-0.93682520602600272</v>
      </c>
      <c r="K65" s="100">
        <f t="shared" si="18"/>
        <v>0.34884847734668201</v>
      </c>
      <c r="L65" s="109" t="str">
        <f t="shared" si="19"/>
        <v>No</v>
      </c>
      <c r="M65" s="115">
        <f t="shared" si="20"/>
        <v>0</v>
      </c>
      <c r="N65" s="115">
        <v>1</v>
      </c>
    </row>
    <row r="66" spans="1:14" s="53" customFormat="1" ht="77.25" hidden="1" customHeight="1" thickBot="1" x14ac:dyDescent="0.3">
      <c r="A66" s="53" t="s">
        <v>118</v>
      </c>
      <c r="B66" s="429" t="s">
        <v>171</v>
      </c>
      <c r="C66" s="65" t="s">
        <v>178</v>
      </c>
      <c r="D66" s="77">
        <v>747</v>
      </c>
      <c r="E66" s="87">
        <v>0.54749999999999999</v>
      </c>
      <c r="F66" s="77">
        <v>1243</v>
      </c>
      <c r="G66" s="87">
        <v>0.54710000000000003</v>
      </c>
      <c r="H66" s="90">
        <f t="shared" si="0"/>
        <v>-3.9999999999995595E-4</v>
      </c>
      <c r="I66" s="101">
        <f t="shared" si="16"/>
        <v>2.3043289506947669E-2</v>
      </c>
      <c r="J66" s="101">
        <f t="shared" si="17"/>
        <v>-1.7358632754206117E-2</v>
      </c>
      <c r="K66" s="101">
        <f t="shared" si="18"/>
        <v>0.98615051045854862</v>
      </c>
      <c r="L66" s="109" t="str">
        <f t="shared" si="19"/>
        <v>No</v>
      </c>
      <c r="M66" s="115">
        <f t="shared" si="20"/>
        <v>0</v>
      </c>
      <c r="N66" s="115">
        <v>1</v>
      </c>
    </row>
    <row r="67" spans="1:14" s="53" customFormat="1" ht="77.25" hidden="1" customHeight="1" thickBot="1" x14ac:dyDescent="0.3">
      <c r="A67" s="53" t="s">
        <v>118</v>
      </c>
      <c r="B67" s="430" t="s">
        <v>171</v>
      </c>
      <c r="C67" s="68" t="s">
        <v>179</v>
      </c>
      <c r="D67" s="78">
        <v>747</v>
      </c>
      <c r="E67" s="88">
        <v>0.56630000000000003</v>
      </c>
      <c r="F67" s="78">
        <v>1243</v>
      </c>
      <c r="G67" s="88">
        <v>0.53580000000000005</v>
      </c>
      <c r="H67" s="90">
        <f t="shared" si="0"/>
        <v>-3.0499999999999972E-2</v>
      </c>
      <c r="I67" s="102">
        <f t="shared" si="16"/>
        <v>2.2997451702887042E-2</v>
      </c>
      <c r="J67" s="102">
        <f t="shared" si="17"/>
        <v>-1.3262338973048513</v>
      </c>
      <c r="K67" s="102">
        <f t="shared" si="18"/>
        <v>0.18476223458907581</v>
      </c>
      <c r="L67" s="109" t="str">
        <f t="shared" si="19"/>
        <v>No</v>
      </c>
      <c r="M67" s="115">
        <f t="shared" si="20"/>
        <v>0</v>
      </c>
      <c r="N67" s="115">
        <v>1</v>
      </c>
    </row>
    <row r="68" spans="1:14" s="60" customFormat="1" ht="77.25" hidden="1" customHeight="1" thickBot="1" x14ac:dyDescent="0.3">
      <c r="B68" s="62"/>
      <c r="C68" s="69" t="s">
        <v>176</v>
      </c>
      <c r="D68" s="79"/>
      <c r="E68" s="89"/>
      <c r="F68" s="79"/>
      <c r="G68" s="89"/>
      <c r="H68" s="93"/>
      <c r="I68" s="103"/>
      <c r="J68" s="103"/>
      <c r="K68" s="103"/>
      <c r="L68" s="110"/>
      <c r="M68" s="116"/>
      <c r="N68" s="116">
        <f>SUM(N62:N67)</f>
        <v>7</v>
      </c>
    </row>
    <row r="69" spans="1:14" s="53" customFormat="1" ht="77.25" hidden="1" customHeight="1" thickBot="1" x14ac:dyDescent="0.3">
      <c r="A69" s="53" t="s">
        <v>119</v>
      </c>
      <c r="B69" s="428" t="s">
        <v>170</v>
      </c>
      <c r="C69" s="67" t="s">
        <v>177</v>
      </c>
      <c r="D69" s="80">
        <v>7639</v>
      </c>
      <c r="E69" s="90">
        <v>0.4325</v>
      </c>
      <c r="F69" s="80">
        <v>9754</v>
      </c>
      <c r="G69" s="90">
        <v>0.44319999999999998</v>
      </c>
      <c r="H69" s="90">
        <f t="shared" si="0"/>
        <v>1.0699999999999987E-2</v>
      </c>
      <c r="I69" s="100">
        <f t="shared" si="16"/>
        <v>7.5782650176328334E-3</v>
      </c>
      <c r="J69" s="100">
        <f t="shared" si="17"/>
        <v>1.4119326752368271</v>
      </c>
      <c r="K69" s="100">
        <f t="shared" si="18"/>
        <v>0.15796978555855201</v>
      </c>
      <c r="L69" s="109" t="str">
        <f t="shared" si="19"/>
        <v>No</v>
      </c>
      <c r="M69" s="115">
        <f t="shared" si="20"/>
        <v>1</v>
      </c>
      <c r="N69" s="115">
        <v>1</v>
      </c>
    </row>
    <row r="70" spans="1:14" s="53" customFormat="1" ht="77.25" hidden="1" customHeight="1" thickBot="1" x14ac:dyDescent="0.3">
      <c r="A70" s="53" t="s">
        <v>119</v>
      </c>
      <c r="B70" s="429" t="s">
        <v>170</v>
      </c>
      <c r="C70" s="65" t="s">
        <v>178</v>
      </c>
      <c r="D70" s="74">
        <v>11050</v>
      </c>
      <c r="E70" s="84">
        <v>0.495</v>
      </c>
      <c r="F70" s="74">
        <v>14201</v>
      </c>
      <c r="G70" s="84">
        <v>0.49530000000000002</v>
      </c>
      <c r="H70" s="90">
        <f t="shared" si="0"/>
        <v>3.0000000000002247E-4</v>
      </c>
      <c r="I70" s="101">
        <f t="shared" si="16"/>
        <v>6.3423190142249284E-3</v>
      </c>
      <c r="J70" s="101">
        <f t="shared" si="17"/>
        <v>4.7301310345185213E-2</v>
      </c>
      <c r="K70" s="101">
        <f t="shared" si="18"/>
        <v>0.96227308374899057</v>
      </c>
      <c r="L70" s="109" t="str">
        <f t="shared" si="19"/>
        <v>No</v>
      </c>
      <c r="M70" s="115">
        <f t="shared" si="20"/>
        <v>1</v>
      </c>
      <c r="N70" s="115">
        <v>1</v>
      </c>
    </row>
    <row r="71" spans="1:14" s="53" customFormat="1" ht="77.25" hidden="1" customHeight="1" thickBot="1" x14ac:dyDescent="0.3">
      <c r="A71" s="53" t="s">
        <v>119</v>
      </c>
      <c r="B71" s="430" t="s">
        <v>170</v>
      </c>
      <c r="C71" s="68" t="s">
        <v>179</v>
      </c>
      <c r="D71" s="75">
        <v>7911</v>
      </c>
      <c r="E71" s="85">
        <v>0.37830000000000003</v>
      </c>
      <c r="F71" s="75">
        <v>10064</v>
      </c>
      <c r="G71" s="85">
        <v>0.3785</v>
      </c>
      <c r="H71" s="90">
        <f t="shared" si="0"/>
        <v>1.9999999999997797E-4</v>
      </c>
      <c r="I71" s="102">
        <f t="shared" si="16"/>
        <v>7.2872188335177442E-3</v>
      </c>
      <c r="J71" s="102">
        <f t="shared" si="17"/>
        <v>2.7445312754994129E-2</v>
      </c>
      <c r="K71" s="102">
        <f t="shared" si="18"/>
        <v>0.97810455749368552</v>
      </c>
      <c r="L71" s="109" t="str">
        <f t="shared" si="19"/>
        <v>No</v>
      </c>
      <c r="M71" s="115">
        <f t="shared" si="20"/>
        <v>1</v>
      </c>
      <c r="N71" s="115">
        <v>1</v>
      </c>
    </row>
    <row r="72" spans="1:14" s="53" customFormat="1" ht="77.25" hidden="1" customHeight="1" thickBot="1" x14ac:dyDescent="0.3">
      <c r="A72" s="53" t="s">
        <v>119</v>
      </c>
      <c r="B72" s="428" t="s">
        <v>171</v>
      </c>
      <c r="C72" s="67" t="s">
        <v>177</v>
      </c>
      <c r="D72" s="76">
        <v>13015</v>
      </c>
      <c r="E72" s="86">
        <v>0.64290000000000003</v>
      </c>
      <c r="F72" s="76">
        <v>17231</v>
      </c>
      <c r="G72" s="86">
        <v>0.65880000000000005</v>
      </c>
      <c r="H72" s="90">
        <f t="shared" si="0"/>
        <v>1.5900000000000025E-2</v>
      </c>
      <c r="I72" s="100">
        <f t="shared" si="16"/>
        <v>5.5393913722591778E-3</v>
      </c>
      <c r="J72" s="100">
        <f t="shared" si="17"/>
        <v>2.8703514396231209</v>
      </c>
      <c r="K72" s="100">
        <f t="shared" si="18"/>
        <v>4.1001581282411603E-3</v>
      </c>
      <c r="L72" s="109" t="str">
        <f t="shared" si="19"/>
        <v>Yes</v>
      </c>
      <c r="M72" s="115">
        <f t="shared" si="20"/>
        <v>1</v>
      </c>
      <c r="N72" s="115">
        <v>2</v>
      </c>
    </row>
    <row r="73" spans="1:14" s="53" customFormat="1" ht="77.25" hidden="1" customHeight="1" thickBot="1" x14ac:dyDescent="0.3">
      <c r="A73" s="53" t="s">
        <v>119</v>
      </c>
      <c r="B73" s="429" t="s">
        <v>171</v>
      </c>
      <c r="C73" s="65" t="s">
        <v>178</v>
      </c>
      <c r="D73" s="77">
        <v>13015</v>
      </c>
      <c r="E73" s="87">
        <v>0.50729999999999997</v>
      </c>
      <c r="F73" s="77">
        <v>17231</v>
      </c>
      <c r="G73" s="87">
        <v>0.52229999999999999</v>
      </c>
      <c r="H73" s="90">
        <f t="shared" si="0"/>
        <v>1.5000000000000013E-2</v>
      </c>
      <c r="I73" s="101">
        <f t="shared" si="16"/>
        <v>5.8038250329495418E-3</v>
      </c>
      <c r="J73" s="101">
        <f t="shared" si="17"/>
        <v>2.5845024470658302</v>
      </c>
      <c r="K73" s="101">
        <f t="shared" si="18"/>
        <v>9.7519612497767305E-3</v>
      </c>
      <c r="L73" s="109" t="str">
        <f t="shared" si="19"/>
        <v>Yes</v>
      </c>
      <c r="M73" s="115">
        <f t="shared" si="20"/>
        <v>1</v>
      </c>
      <c r="N73" s="115">
        <v>2</v>
      </c>
    </row>
    <row r="74" spans="1:14" s="53" customFormat="1" ht="77.25" hidden="1" customHeight="1" thickBot="1" x14ac:dyDescent="0.3">
      <c r="A74" s="53" t="s">
        <v>119</v>
      </c>
      <c r="B74" s="430" t="s">
        <v>171</v>
      </c>
      <c r="C74" s="68" t="s">
        <v>179</v>
      </c>
      <c r="D74" s="78">
        <v>13015</v>
      </c>
      <c r="E74" s="88">
        <v>0.60550000000000004</v>
      </c>
      <c r="F74" s="78">
        <v>17231</v>
      </c>
      <c r="G74" s="88">
        <v>0.61829999999999996</v>
      </c>
      <c r="H74" s="90">
        <f t="shared" si="0"/>
        <v>1.2799999999999923E-2</v>
      </c>
      <c r="I74" s="102">
        <f t="shared" si="16"/>
        <v>5.6612684824050956E-3</v>
      </c>
      <c r="J74" s="102">
        <f t="shared" si="17"/>
        <v>2.260977383387063</v>
      </c>
      <c r="K74" s="102">
        <f t="shared" si="18"/>
        <v>2.3760657603139723E-2</v>
      </c>
      <c r="L74" s="109" t="str">
        <f t="shared" si="19"/>
        <v>Yes</v>
      </c>
      <c r="M74" s="115">
        <f t="shared" si="20"/>
        <v>1</v>
      </c>
      <c r="N74" s="115">
        <v>2</v>
      </c>
    </row>
    <row r="75" spans="1:14" s="60" customFormat="1" ht="77.25" hidden="1" customHeight="1" thickBot="1" x14ac:dyDescent="0.3">
      <c r="B75" s="62"/>
      <c r="C75" s="69" t="s">
        <v>176</v>
      </c>
      <c r="D75" s="79"/>
      <c r="E75" s="89"/>
      <c r="F75" s="79"/>
      <c r="G75" s="89"/>
      <c r="H75" s="93"/>
      <c r="I75" s="103"/>
      <c r="J75" s="103"/>
      <c r="K75" s="103"/>
      <c r="L75" s="110"/>
      <c r="M75" s="116"/>
      <c r="N75" s="116">
        <f>SUM(N69:N74)</f>
        <v>9</v>
      </c>
    </row>
    <row r="76" spans="1:14" s="53" customFormat="1" ht="77.25" hidden="1" customHeight="1" thickBot="1" x14ac:dyDescent="0.3">
      <c r="A76" s="53" t="s">
        <v>120</v>
      </c>
      <c r="B76" s="428" t="s">
        <v>170</v>
      </c>
      <c r="C76" s="67" t="s">
        <v>177</v>
      </c>
      <c r="D76" s="80">
        <v>1538</v>
      </c>
      <c r="E76" s="90">
        <v>0.72040000000000004</v>
      </c>
      <c r="F76" s="80">
        <v>2263</v>
      </c>
      <c r="G76" s="90">
        <v>0.70609999999999995</v>
      </c>
      <c r="H76" s="90">
        <f t="shared" si="0"/>
        <v>-1.430000000000009E-2</v>
      </c>
      <c r="I76" s="100">
        <f t="shared" si="16"/>
        <v>1.4922040738354047E-2</v>
      </c>
      <c r="J76" s="100">
        <f t="shared" si="17"/>
        <v>-0.95831396326675822</v>
      </c>
      <c r="K76" s="100">
        <f t="shared" si="18"/>
        <v>0.33790446484761816</v>
      </c>
      <c r="L76" s="109" t="str">
        <f t="shared" si="19"/>
        <v>No</v>
      </c>
      <c r="M76" s="115">
        <f t="shared" si="20"/>
        <v>0</v>
      </c>
      <c r="N76" s="115">
        <v>1</v>
      </c>
    </row>
    <row r="77" spans="1:14" s="53" customFormat="1" ht="77.25" hidden="1" customHeight="1" thickBot="1" x14ac:dyDescent="0.3">
      <c r="A77" s="53" t="s">
        <v>120</v>
      </c>
      <c r="B77" s="429" t="s">
        <v>170</v>
      </c>
      <c r="C77" s="65" t="s">
        <v>178</v>
      </c>
      <c r="D77" s="74">
        <v>2248</v>
      </c>
      <c r="E77" s="84">
        <v>0.79139999999999999</v>
      </c>
      <c r="F77" s="74">
        <v>3355</v>
      </c>
      <c r="G77" s="84">
        <v>0.75529999999999997</v>
      </c>
      <c r="H77" s="90">
        <f t="shared" si="0"/>
        <v>-3.6100000000000021E-2</v>
      </c>
      <c r="I77" s="101">
        <f t="shared" si="16"/>
        <v>1.1336902059131427E-2</v>
      </c>
      <c r="J77" s="101">
        <f t="shared" si="17"/>
        <v>-3.184291423857093</v>
      </c>
      <c r="K77" s="101">
        <f t="shared" si="18"/>
        <v>1.4510884306309091E-3</v>
      </c>
      <c r="L77" s="109" t="str">
        <f t="shared" si="19"/>
        <v>Yes</v>
      </c>
      <c r="M77" s="115">
        <f t="shared" si="20"/>
        <v>0</v>
      </c>
      <c r="N77" s="115">
        <v>0</v>
      </c>
    </row>
    <row r="78" spans="1:14" s="53" customFormat="1" ht="77.25" hidden="1" customHeight="1" thickBot="1" x14ac:dyDescent="0.3">
      <c r="A78" s="53" t="s">
        <v>120</v>
      </c>
      <c r="B78" s="430" t="s">
        <v>170</v>
      </c>
      <c r="C78" s="68" t="s">
        <v>179</v>
      </c>
      <c r="D78" s="75">
        <v>1757</v>
      </c>
      <c r="E78" s="85">
        <v>0.77180000000000004</v>
      </c>
      <c r="F78" s="75">
        <v>2628</v>
      </c>
      <c r="G78" s="85">
        <v>0.74850000000000005</v>
      </c>
      <c r="H78" s="90">
        <f t="shared" si="0"/>
        <v>-2.3299999999999987E-2</v>
      </c>
      <c r="I78" s="102">
        <f t="shared" si="16"/>
        <v>1.3110046411626025E-2</v>
      </c>
      <c r="J78" s="102">
        <f t="shared" si="17"/>
        <v>-1.7772629682941079</v>
      </c>
      <c r="K78" s="102">
        <f t="shared" si="18"/>
        <v>7.5524983484310582E-2</v>
      </c>
      <c r="L78" s="109" t="str">
        <f t="shared" si="19"/>
        <v>No</v>
      </c>
      <c r="M78" s="115">
        <f t="shared" si="20"/>
        <v>0</v>
      </c>
      <c r="N78" s="115">
        <v>1</v>
      </c>
    </row>
    <row r="79" spans="1:14" s="53" customFormat="1" ht="77.25" hidden="1" customHeight="1" thickBot="1" x14ac:dyDescent="0.3">
      <c r="A79" s="53" t="s">
        <v>120</v>
      </c>
      <c r="B79" s="428" t="s">
        <v>171</v>
      </c>
      <c r="C79" s="67" t="s">
        <v>177</v>
      </c>
      <c r="D79" s="76">
        <v>2506</v>
      </c>
      <c r="E79" s="86">
        <v>0.66759999999999997</v>
      </c>
      <c r="F79" s="76">
        <v>3817</v>
      </c>
      <c r="G79" s="86">
        <v>0.67800000000000005</v>
      </c>
      <c r="H79" s="90">
        <f t="shared" si="0"/>
        <v>1.0400000000000076E-2</v>
      </c>
      <c r="I79" s="100">
        <f t="shared" si="16"/>
        <v>1.2072583636433036E-2</v>
      </c>
      <c r="J79" s="100">
        <f t="shared" si="17"/>
        <v>0.86145603237857193</v>
      </c>
      <c r="K79" s="100">
        <f t="shared" si="18"/>
        <v>0.38898692690767023</v>
      </c>
      <c r="L79" s="109" t="str">
        <f t="shared" si="19"/>
        <v>No</v>
      </c>
      <c r="M79" s="115">
        <f t="shared" si="20"/>
        <v>1</v>
      </c>
      <c r="N79" s="115">
        <v>1</v>
      </c>
    </row>
    <row r="80" spans="1:14" s="53" customFormat="1" ht="77.25" hidden="1" customHeight="1" thickBot="1" x14ac:dyDescent="0.3">
      <c r="A80" s="53" t="s">
        <v>120</v>
      </c>
      <c r="B80" s="429" t="s">
        <v>171</v>
      </c>
      <c r="C80" s="65" t="s">
        <v>178</v>
      </c>
      <c r="D80" s="77">
        <v>2505</v>
      </c>
      <c r="E80" s="87">
        <v>0.48659999999999998</v>
      </c>
      <c r="F80" s="77">
        <v>3802</v>
      </c>
      <c r="G80" s="87">
        <v>0.49320000000000003</v>
      </c>
      <c r="H80" s="90">
        <f t="shared" si="0"/>
        <v>6.6000000000000503E-3</v>
      </c>
      <c r="I80" s="101">
        <f t="shared" si="16"/>
        <v>1.286356958246654E-2</v>
      </c>
      <c r="J80" s="101">
        <f t="shared" si="17"/>
        <v>0.51307686856967472</v>
      </c>
      <c r="K80" s="101">
        <f t="shared" si="18"/>
        <v>0.60789755145527069</v>
      </c>
      <c r="L80" s="109" t="str">
        <f t="shared" si="19"/>
        <v>No</v>
      </c>
      <c r="M80" s="115">
        <f t="shared" si="20"/>
        <v>1</v>
      </c>
      <c r="N80" s="115">
        <v>1</v>
      </c>
    </row>
    <row r="81" spans="1:14" s="53" customFormat="1" ht="77.25" hidden="1" customHeight="1" thickBot="1" x14ac:dyDescent="0.3">
      <c r="A81" s="53" t="s">
        <v>120</v>
      </c>
      <c r="B81" s="430" t="s">
        <v>171</v>
      </c>
      <c r="C81" s="68" t="s">
        <v>179</v>
      </c>
      <c r="D81" s="78">
        <v>2510</v>
      </c>
      <c r="E81" s="88">
        <v>0.67810000000000004</v>
      </c>
      <c r="F81" s="78">
        <v>3802</v>
      </c>
      <c r="G81" s="88">
        <v>0.66649999999999998</v>
      </c>
      <c r="H81" s="90">
        <f t="shared" si="0"/>
        <v>-1.1600000000000055E-2</v>
      </c>
      <c r="I81" s="102">
        <f t="shared" si="16"/>
        <v>1.2059339672821925E-2</v>
      </c>
      <c r="J81" s="102">
        <f t="shared" si="17"/>
        <v>-0.96191004770708277</v>
      </c>
      <c r="K81" s="102">
        <f t="shared" si="18"/>
        <v>0.33609479093231354</v>
      </c>
      <c r="L81" s="109" t="str">
        <f t="shared" si="19"/>
        <v>No</v>
      </c>
      <c r="M81" s="115">
        <f t="shared" si="20"/>
        <v>0</v>
      </c>
      <c r="N81" s="115">
        <v>1</v>
      </c>
    </row>
    <row r="82" spans="1:14" s="60" customFormat="1" ht="77.25" hidden="1" customHeight="1" thickBot="1" x14ac:dyDescent="0.3">
      <c r="B82" s="62"/>
      <c r="C82" s="69" t="s">
        <v>176</v>
      </c>
      <c r="D82" s="79"/>
      <c r="E82" s="89"/>
      <c r="F82" s="79"/>
      <c r="G82" s="89"/>
      <c r="H82" s="93"/>
      <c r="I82" s="103"/>
      <c r="J82" s="103"/>
      <c r="K82" s="103"/>
      <c r="L82" s="110"/>
      <c r="M82" s="116"/>
      <c r="N82" s="116">
        <f>SUM(N76:N81)</f>
        <v>5</v>
      </c>
    </row>
    <row r="83" spans="1:14" s="53" customFormat="1" ht="77.25" customHeight="1" thickBot="1" x14ac:dyDescent="0.3">
      <c r="A83" s="53" t="s">
        <v>121</v>
      </c>
      <c r="B83" s="428" t="s">
        <v>170</v>
      </c>
      <c r="C83" s="67" t="s">
        <v>177</v>
      </c>
      <c r="D83" s="80">
        <v>1770</v>
      </c>
      <c r="E83" s="90">
        <v>0.75649999999999995</v>
      </c>
      <c r="F83" s="80">
        <v>1785</v>
      </c>
      <c r="G83" s="90">
        <v>0.72770000000000001</v>
      </c>
      <c r="H83" s="90">
        <f t="shared" si="0"/>
        <v>-2.8799999999999937E-2</v>
      </c>
      <c r="I83" s="100">
        <f t="shared" si="16"/>
        <v>1.4665677505995773E-2</v>
      </c>
      <c r="J83" s="100">
        <f t="shared" si="17"/>
        <v>-1.9637688056501736</v>
      </c>
      <c r="K83" s="100">
        <f t="shared" si="18"/>
        <v>4.9556909187022491E-2</v>
      </c>
      <c r="L83" s="109" t="str">
        <f t="shared" si="19"/>
        <v>Yes</v>
      </c>
      <c r="M83" s="115">
        <f t="shared" si="20"/>
        <v>0</v>
      </c>
      <c r="N83" s="115">
        <v>0</v>
      </c>
    </row>
    <row r="84" spans="1:14" s="53" customFormat="1" ht="77.25" customHeight="1" thickBot="1" x14ac:dyDescent="0.3">
      <c r="A84" s="53" t="s">
        <v>121</v>
      </c>
      <c r="B84" s="429" t="s">
        <v>170</v>
      </c>
      <c r="C84" s="65" t="s">
        <v>178</v>
      </c>
      <c r="D84" s="74">
        <v>2162</v>
      </c>
      <c r="E84" s="84">
        <v>0.82840000000000003</v>
      </c>
      <c r="F84" s="74">
        <v>2168</v>
      </c>
      <c r="G84" s="84">
        <v>0.82750000000000001</v>
      </c>
      <c r="H84" s="90">
        <f t="shared" si="0"/>
        <v>-9.000000000000119E-4</v>
      </c>
      <c r="I84" s="101">
        <f t="shared" si="16"/>
        <v>1.1471360443161473E-2</v>
      </c>
      <c r="J84" s="101">
        <f t="shared" si="17"/>
        <v>-7.845625673252532E-2</v>
      </c>
      <c r="K84" s="101">
        <f t="shared" si="18"/>
        <v>0.93746512498951429</v>
      </c>
      <c r="L84" s="109" t="str">
        <f t="shared" si="19"/>
        <v>No</v>
      </c>
      <c r="M84" s="115">
        <f t="shared" si="20"/>
        <v>0</v>
      </c>
      <c r="N84" s="115">
        <v>1</v>
      </c>
    </row>
    <row r="85" spans="1:14" s="53" customFormat="1" ht="77.25" customHeight="1" thickBot="1" x14ac:dyDescent="0.3">
      <c r="A85" s="53" t="s">
        <v>121</v>
      </c>
      <c r="B85" s="430" t="s">
        <v>170</v>
      </c>
      <c r="C85" s="68" t="s">
        <v>179</v>
      </c>
      <c r="D85" s="75">
        <v>1882</v>
      </c>
      <c r="E85" s="85">
        <v>0.85970000000000002</v>
      </c>
      <c r="F85" s="75">
        <v>1794</v>
      </c>
      <c r="G85" s="85">
        <v>0.85060000000000002</v>
      </c>
      <c r="H85" s="90">
        <f t="shared" si="0"/>
        <v>-9.099999999999997E-3</v>
      </c>
      <c r="I85" s="102">
        <f t="shared" si="16"/>
        <v>1.1615728072251358E-2</v>
      </c>
      <c r="J85" s="102">
        <f t="shared" si="17"/>
        <v>-0.78342054354206625</v>
      </c>
      <c r="K85" s="102">
        <f t="shared" si="18"/>
        <v>0.43338019621940393</v>
      </c>
      <c r="L85" s="109" t="str">
        <f t="shared" si="19"/>
        <v>No</v>
      </c>
      <c r="M85" s="115">
        <f t="shared" si="20"/>
        <v>0</v>
      </c>
      <c r="N85" s="115">
        <v>1</v>
      </c>
    </row>
    <row r="86" spans="1:14" s="53" customFormat="1" ht="77.25" customHeight="1" thickBot="1" x14ac:dyDescent="0.3">
      <c r="A86" s="53" t="s">
        <v>121</v>
      </c>
      <c r="B86" s="428" t="s">
        <v>171</v>
      </c>
      <c r="C86" s="67" t="s">
        <v>177</v>
      </c>
      <c r="D86" s="76">
        <v>2430</v>
      </c>
      <c r="E86" s="86">
        <v>0.59419999999999995</v>
      </c>
      <c r="F86" s="76">
        <v>2426</v>
      </c>
      <c r="G86" s="86">
        <v>0.59599999999999997</v>
      </c>
      <c r="H86" s="90">
        <f t="shared" si="0"/>
        <v>1.8000000000000238E-3</v>
      </c>
      <c r="I86" s="100">
        <f t="shared" si="16"/>
        <v>1.4088307117483982E-2</v>
      </c>
      <c r="J86" s="100">
        <f t="shared" si="17"/>
        <v>0.12776552817805722</v>
      </c>
      <c r="K86" s="100">
        <f t="shared" si="18"/>
        <v>0.89833453095994664</v>
      </c>
      <c r="L86" s="109" t="str">
        <f t="shared" si="19"/>
        <v>No</v>
      </c>
      <c r="M86" s="115">
        <f t="shared" si="20"/>
        <v>1</v>
      </c>
      <c r="N86" s="115">
        <v>1</v>
      </c>
    </row>
    <row r="87" spans="1:14" s="53" customFormat="1" ht="77.25" customHeight="1" thickBot="1" x14ac:dyDescent="0.3">
      <c r="A87" s="53" t="s">
        <v>121</v>
      </c>
      <c r="B87" s="429" t="s">
        <v>171</v>
      </c>
      <c r="C87" s="65" t="s">
        <v>178</v>
      </c>
      <c r="D87" s="77">
        <v>2430</v>
      </c>
      <c r="E87" s="87">
        <v>0.52429999999999999</v>
      </c>
      <c r="F87" s="77">
        <v>2426</v>
      </c>
      <c r="G87" s="87">
        <v>0.50949999999999995</v>
      </c>
      <c r="H87" s="90">
        <f t="shared" si="0"/>
        <v>-1.4800000000000035E-2</v>
      </c>
      <c r="I87" s="101">
        <f t="shared" si="16"/>
        <v>1.4340528087307618E-2</v>
      </c>
      <c r="J87" s="101">
        <f t="shared" si="17"/>
        <v>-1.0320400971216035</v>
      </c>
      <c r="K87" s="101">
        <f t="shared" si="18"/>
        <v>0.30205333397144352</v>
      </c>
      <c r="L87" s="109" t="str">
        <f t="shared" si="19"/>
        <v>No</v>
      </c>
      <c r="M87" s="115">
        <f t="shared" si="20"/>
        <v>0</v>
      </c>
      <c r="N87" s="115">
        <v>1</v>
      </c>
    </row>
    <row r="88" spans="1:14" s="53" customFormat="1" ht="77.25" customHeight="1" thickBot="1" x14ac:dyDescent="0.3">
      <c r="A88" s="53" t="s">
        <v>121</v>
      </c>
      <c r="B88" s="430" t="s">
        <v>171</v>
      </c>
      <c r="C88" s="68" t="s">
        <v>179</v>
      </c>
      <c r="D88" s="78">
        <v>2430</v>
      </c>
      <c r="E88" s="88">
        <v>0.69920000000000004</v>
      </c>
      <c r="F88" s="78">
        <v>2426</v>
      </c>
      <c r="G88" s="88">
        <v>0.72050000000000003</v>
      </c>
      <c r="H88" s="90">
        <f t="shared" si="0"/>
        <v>2.1299999999999986E-2</v>
      </c>
      <c r="I88" s="102">
        <f t="shared" si="16"/>
        <v>1.3021526113702478E-2</v>
      </c>
      <c r="J88" s="102">
        <f t="shared" si="17"/>
        <v>1.6357529688924954</v>
      </c>
      <c r="K88" s="102">
        <f t="shared" si="18"/>
        <v>0.10189129873018188</v>
      </c>
      <c r="L88" s="109" t="str">
        <f t="shared" si="19"/>
        <v>No</v>
      </c>
      <c r="M88" s="115">
        <f t="shared" si="20"/>
        <v>1</v>
      </c>
      <c r="N88" s="115">
        <v>1</v>
      </c>
    </row>
    <row r="89" spans="1:14" s="60" customFormat="1" ht="77.25" customHeight="1" x14ac:dyDescent="0.25">
      <c r="B89" s="62"/>
      <c r="C89" s="69" t="s">
        <v>176</v>
      </c>
      <c r="D89" s="79"/>
      <c r="E89" s="89"/>
      <c r="F89" s="79"/>
      <c r="G89" s="89"/>
      <c r="H89" s="93"/>
      <c r="I89" s="103"/>
      <c r="J89" s="103"/>
      <c r="K89" s="103"/>
      <c r="L89" s="110"/>
      <c r="M89" s="116"/>
      <c r="N89" s="116">
        <f>SUM(N83:N88)</f>
        <v>5</v>
      </c>
    </row>
    <row r="90" spans="1:14" s="53" customFormat="1" ht="77.25" hidden="1" customHeight="1" thickBot="1" x14ac:dyDescent="0.3">
      <c r="A90" s="53" t="s">
        <v>122</v>
      </c>
      <c r="B90" s="428" t="s">
        <v>170</v>
      </c>
      <c r="C90" s="67" t="s">
        <v>177</v>
      </c>
      <c r="D90" s="80">
        <v>165</v>
      </c>
      <c r="E90" s="90">
        <v>0.58179999999999998</v>
      </c>
      <c r="F90" s="80">
        <v>213</v>
      </c>
      <c r="G90" s="90">
        <v>0.64319999999999999</v>
      </c>
      <c r="H90" s="90">
        <f t="shared" si="0"/>
        <v>6.140000000000001E-2</v>
      </c>
      <c r="I90" s="100">
        <f t="shared" si="16"/>
        <v>5.0517660658548832E-2</v>
      </c>
      <c r="J90" s="100">
        <f t="shared" si="17"/>
        <v>1.2154165335367646</v>
      </c>
      <c r="K90" s="100">
        <f t="shared" si="18"/>
        <v>0.22420726525473955</v>
      </c>
      <c r="L90" s="109" t="str">
        <f t="shared" si="19"/>
        <v>No</v>
      </c>
      <c r="M90" s="115">
        <f t="shared" si="20"/>
        <v>1</v>
      </c>
      <c r="N90" s="115">
        <v>1</v>
      </c>
    </row>
    <row r="91" spans="1:14" s="53" customFormat="1" ht="77.25" hidden="1" customHeight="1" thickBot="1" x14ac:dyDescent="0.3">
      <c r="A91" s="53" t="s">
        <v>122</v>
      </c>
      <c r="B91" s="429" t="s">
        <v>170</v>
      </c>
      <c r="C91" s="65" t="s">
        <v>178</v>
      </c>
      <c r="D91" s="74">
        <v>206</v>
      </c>
      <c r="E91" s="84">
        <v>0.62619999999999998</v>
      </c>
      <c r="F91" s="74">
        <v>258</v>
      </c>
      <c r="G91" s="84">
        <v>0.46899999999999997</v>
      </c>
      <c r="H91" s="90">
        <f t="shared" si="0"/>
        <v>-0.15720000000000001</v>
      </c>
      <c r="I91" s="101">
        <f t="shared" si="16"/>
        <v>4.584263146173214E-2</v>
      </c>
      <c r="J91" s="101">
        <f t="shared" si="17"/>
        <v>-3.4291225217126811</v>
      </c>
      <c r="K91" s="101">
        <f t="shared" si="18"/>
        <v>6.0553610414104675E-4</v>
      </c>
      <c r="L91" s="109" t="str">
        <f t="shared" si="19"/>
        <v>Yes</v>
      </c>
      <c r="M91" s="115">
        <f t="shared" si="20"/>
        <v>0</v>
      </c>
      <c r="N91" s="115">
        <v>0</v>
      </c>
    </row>
    <row r="92" spans="1:14" s="53" customFormat="1" ht="77.25" hidden="1" customHeight="1" thickBot="1" x14ac:dyDescent="0.3">
      <c r="A92" s="53" t="s">
        <v>122</v>
      </c>
      <c r="B92" s="430" t="s">
        <v>170</v>
      </c>
      <c r="C92" s="68" t="s">
        <v>179</v>
      </c>
      <c r="D92" s="75">
        <v>186</v>
      </c>
      <c r="E92" s="85">
        <v>0.6774</v>
      </c>
      <c r="F92" s="75">
        <v>216</v>
      </c>
      <c r="G92" s="85">
        <v>0.67130000000000001</v>
      </c>
      <c r="H92" s="90">
        <f t="shared" si="0"/>
        <v>-6.0999999999999943E-3</v>
      </c>
      <c r="I92" s="102">
        <f t="shared" si="16"/>
        <v>4.6866249880244466E-2</v>
      </c>
      <c r="J92" s="102">
        <f t="shared" si="17"/>
        <v>-0.13015762975674586</v>
      </c>
      <c r="K92" s="102">
        <f t="shared" si="18"/>
        <v>0.89644171590185939</v>
      </c>
      <c r="L92" s="109" t="str">
        <f t="shared" si="19"/>
        <v>No</v>
      </c>
      <c r="M92" s="115">
        <f t="shared" si="20"/>
        <v>0</v>
      </c>
      <c r="N92" s="115">
        <v>1</v>
      </c>
    </row>
    <row r="93" spans="1:14" s="53" customFormat="1" ht="77.25" hidden="1" customHeight="1" thickBot="1" x14ac:dyDescent="0.3">
      <c r="A93" s="53" t="s">
        <v>122</v>
      </c>
      <c r="B93" s="428" t="s">
        <v>171</v>
      </c>
      <c r="C93" s="67" t="s">
        <v>177</v>
      </c>
      <c r="D93" s="76">
        <v>227</v>
      </c>
      <c r="E93" s="86">
        <v>0.55510000000000004</v>
      </c>
      <c r="F93" s="76">
        <v>297</v>
      </c>
      <c r="G93" s="86">
        <v>0.62290000000000001</v>
      </c>
      <c r="H93" s="90">
        <f t="shared" si="0"/>
        <v>6.7799999999999971E-2</v>
      </c>
      <c r="I93" s="100">
        <f t="shared" si="16"/>
        <v>4.3345603409518423E-2</v>
      </c>
      <c r="J93" s="100">
        <f t="shared" si="17"/>
        <v>1.5641724804115085</v>
      </c>
      <c r="K93" s="100">
        <f t="shared" si="18"/>
        <v>0.11777706811697741</v>
      </c>
      <c r="L93" s="109" t="str">
        <f t="shared" si="19"/>
        <v>No</v>
      </c>
      <c r="M93" s="115">
        <f t="shared" si="20"/>
        <v>1</v>
      </c>
      <c r="N93" s="115">
        <v>1</v>
      </c>
    </row>
    <row r="94" spans="1:14" s="53" customFormat="1" ht="77.25" hidden="1" customHeight="1" thickBot="1" x14ac:dyDescent="0.3">
      <c r="A94" s="53" t="s">
        <v>122</v>
      </c>
      <c r="B94" s="429" t="s">
        <v>171</v>
      </c>
      <c r="C94" s="65" t="s">
        <v>178</v>
      </c>
      <c r="D94" s="77">
        <v>227</v>
      </c>
      <c r="E94" s="87">
        <v>0.49780000000000002</v>
      </c>
      <c r="F94" s="77">
        <v>297</v>
      </c>
      <c r="G94" s="87">
        <v>0.41749999999999998</v>
      </c>
      <c r="H94" s="90">
        <f t="shared" si="0"/>
        <v>-8.0300000000000038E-2</v>
      </c>
      <c r="I94" s="101">
        <f t="shared" si="16"/>
        <v>4.3819338646325499E-2</v>
      </c>
      <c r="J94" s="101">
        <f t="shared" si="17"/>
        <v>-1.8325242342910999</v>
      </c>
      <c r="K94" s="101">
        <f t="shared" si="18"/>
        <v>6.6873354569588539E-2</v>
      </c>
      <c r="L94" s="109" t="str">
        <f t="shared" si="19"/>
        <v>No</v>
      </c>
      <c r="M94" s="115">
        <f t="shared" si="20"/>
        <v>0</v>
      </c>
      <c r="N94" s="115">
        <v>1</v>
      </c>
    </row>
    <row r="95" spans="1:14" s="53" customFormat="1" ht="77.25" hidden="1" customHeight="1" thickBot="1" x14ac:dyDescent="0.3">
      <c r="A95" s="53" t="s">
        <v>122</v>
      </c>
      <c r="B95" s="430" t="s">
        <v>171</v>
      </c>
      <c r="C95" s="68" t="s">
        <v>179</v>
      </c>
      <c r="D95" s="78">
        <v>227</v>
      </c>
      <c r="E95" s="88">
        <v>0.60350000000000004</v>
      </c>
      <c r="F95" s="78">
        <v>297</v>
      </c>
      <c r="G95" s="88">
        <v>0.6835</v>
      </c>
      <c r="H95" s="90">
        <f t="shared" si="0"/>
        <v>7.999999999999996E-2</v>
      </c>
      <c r="I95" s="102">
        <f t="shared" si="16"/>
        <v>4.2219750353300112E-2</v>
      </c>
      <c r="J95" s="102">
        <f t="shared" si="17"/>
        <v>1.8948477745735119</v>
      </c>
      <c r="K95" s="102">
        <f t="shared" si="18"/>
        <v>5.8112571802117818E-2</v>
      </c>
      <c r="L95" s="109" t="str">
        <f t="shared" si="19"/>
        <v>No</v>
      </c>
      <c r="M95" s="115">
        <f t="shared" si="20"/>
        <v>1</v>
      </c>
      <c r="N95" s="115">
        <v>1</v>
      </c>
    </row>
    <row r="96" spans="1:14" s="60" customFormat="1" ht="77.25" hidden="1" customHeight="1" thickBot="1" x14ac:dyDescent="0.3">
      <c r="B96" s="62"/>
      <c r="C96" s="69" t="s">
        <v>176</v>
      </c>
      <c r="D96" s="79"/>
      <c r="E96" s="89"/>
      <c r="F96" s="79"/>
      <c r="G96" s="89"/>
      <c r="H96" s="93"/>
      <c r="I96" s="103"/>
      <c r="J96" s="103"/>
      <c r="K96" s="103"/>
      <c r="L96" s="110"/>
      <c r="M96" s="116"/>
      <c r="N96" s="116">
        <f>SUM(N90:N95)</f>
        <v>5</v>
      </c>
    </row>
    <row r="97" spans="1:14" s="53" customFormat="1" ht="77.25" hidden="1" customHeight="1" thickBot="1" x14ac:dyDescent="0.3">
      <c r="A97" s="53" t="s">
        <v>123</v>
      </c>
      <c r="B97" s="428" t="s">
        <v>170</v>
      </c>
      <c r="C97" s="67" t="s">
        <v>177</v>
      </c>
      <c r="D97" s="80">
        <v>248</v>
      </c>
      <c r="E97" s="90">
        <v>0.3952</v>
      </c>
      <c r="F97" s="80">
        <v>261</v>
      </c>
      <c r="G97" s="90">
        <v>0.52490000000000003</v>
      </c>
      <c r="H97" s="90">
        <f t="shared" si="0"/>
        <v>0.12970000000000004</v>
      </c>
      <c r="I97" s="100">
        <f t="shared" si="16"/>
        <v>4.3809324959476585E-2</v>
      </c>
      <c r="J97" s="100">
        <f t="shared" si="17"/>
        <v>2.960556916135364</v>
      </c>
      <c r="K97" s="100">
        <f t="shared" si="18"/>
        <v>3.0708337527605156E-3</v>
      </c>
      <c r="L97" s="109" t="str">
        <f t="shared" si="19"/>
        <v>Yes</v>
      </c>
      <c r="M97" s="115">
        <f t="shared" si="20"/>
        <v>1</v>
      </c>
      <c r="N97" s="115">
        <v>2</v>
      </c>
    </row>
    <row r="98" spans="1:14" s="53" customFormat="1" ht="77.25" hidden="1" customHeight="1" thickBot="1" x14ac:dyDescent="0.3">
      <c r="A98" s="53" t="s">
        <v>123</v>
      </c>
      <c r="B98" s="429" t="s">
        <v>170</v>
      </c>
      <c r="C98" s="65" t="s">
        <v>178</v>
      </c>
      <c r="D98" s="74">
        <v>254</v>
      </c>
      <c r="E98" s="84">
        <v>0.59840000000000004</v>
      </c>
      <c r="F98" s="74">
        <v>314</v>
      </c>
      <c r="G98" s="84">
        <v>0.61460000000000004</v>
      </c>
      <c r="H98" s="90">
        <f t="shared" si="0"/>
        <v>1.6199999999999992E-2</v>
      </c>
      <c r="I98" s="101">
        <f t="shared" si="16"/>
        <v>4.1236933047619828E-2</v>
      </c>
      <c r="J98" s="101">
        <f t="shared" si="17"/>
        <v>0.39285171817439624</v>
      </c>
      <c r="K98" s="101">
        <f t="shared" si="18"/>
        <v>0.69442900366316973</v>
      </c>
      <c r="L98" s="109" t="str">
        <f t="shared" si="19"/>
        <v>No</v>
      </c>
      <c r="M98" s="115">
        <f t="shared" si="20"/>
        <v>1</v>
      </c>
      <c r="N98" s="115">
        <v>1</v>
      </c>
    </row>
    <row r="99" spans="1:14" s="53" customFormat="1" ht="77.25" hidden="1" customHeight="1" thickBot="1" x14ac:dyDescent="0.3">
      <c r="A99" s="53" t="s">
        <v>123</v>
      </c>
      <c r="B99" s="430" t="s">
        <v>170</v>
      </c>
      <c r="C99" s="68" t="s">
        <v>179</v>
      </c>
      <c r="D99" s="75">
        <v>258</v>
      </c>
      <c r="E99" s="85">
        <v>0.5504</v>
      </c>
      <c r="F99" s="75">
        <v>327</v>
      </c>
      <c r="G99" s="85">
        <v>0.57489999999999997</v>
      </c>
      <c r="H99" s="90">
        <f t="shared" si="0"/>
        <v>2.4499999999999966E-2</v>
      </c>
      <c r="I99" s="102">
        <f t="shared" si="16"/>
        <v>4.1310006858709995E-2</v>
      </c>
      <c r="J99" s="102">
        <f t="shared" si="17"/>
        <v>0.59307663839891789</v>
      </c>
      <c r="K99" s="102">
        <f t="shared" si="18"/>
        <v>0.55312986410865195</v>
      </c>
      <c r="L99" s="109" t="str">
        <f t="shared" si="19"/>
        <v>No</v>
      </c>
      <c r="M99" s="115">
        <f t="shared" si="20"/>
        <v>1</v>
      </c>
      <c r="N99" s="115">
        <v>1</v>
      </c>
    </row>
    <row r="100" spans="1:14" s="53" customFormat="1" ht="77.25" hidden="1" customHeight="1" thickBot="1" x14ac:dyDescent="0.3">
      <c r="A100" s="53" t="s">
        <v>123</v>
      </c>
      <c r="B100" s="428" t="s">
        <v>171</v>
      </c>
      <c r="C100" s="67" t="s">
        <v>177</v>
      </c>
      <c r="D100" s="76">
        <v>306</v>
      </c>
      <c r="E100" s="86">
        <v>0.39219999999999999</v>
      </c>
      <c r="F100" s="76">
        <v>391</v>
      </c>
      <c r="G100" s="86">
        <v>0.54220000000000002</v>
      </c>
      <c r="H100" s="90">
        <f t="shared" si="0"/>
        <v>0.15000000000000002</v>
      </c>
      <c r="I100" s="100">
        <f t="shared" si="16"/>
        <v>3.7601176497528567E-2</v>
      </c>
      <c r="J100" s="100">
        <f t="shared" si="17"/>
        <v>3.9892368795922954</v>
      </c>
      <c r="K100" s="100">
        <f t="shared" si="18"/>
        <v>6.628620162363319E-5</v>
      </c>
      <c r="L100" s="109" t="str">
        <f t="shared" si="19"/>
        <v>Yes</v>
      </c>
      <c r="M100" s="115">
        <f t="shared" si="20"/>
        <v>1</v>
      </c>
      <c r="N100" s="115">
        <v>2</v>
      </c>
    </row>
    <row r="101" spans="1:14" s="53" customFormat="1" ht="77.25" hidden="1" customHeight="1" thickBot="1" x14ac:dyDescent="0.3">
      <c r="A101" s="53" t="s">
        <v>123</v>
      </c>
      <c r="B101" s="429" t="s">
        <v>171</v>
      </c>
      <c r="C101" s="65" t="s">
        <v>178</v>
      </c>
      <c r="D101" s="77">
        <v>306</v>
      </c>
      <c r="E101" s="87">
        <v>0.48370000000000002</v>
      </c>
      <c r="F101" s="77">
        <v>391</v>
      </c>
      <c r="G101" s="87">
        <v>0.4834</v>
      </c>
      <c r="H101" s="90">
        <f t="shared" si="0"/>
        <v>-3.0000000000002247E-4</v>
      </c>
      <c r="I101" s="101">
        <f t="shared" si="16"/>
        <v>3.8141927432990261E-2</v>
      </c>
      <c r="J101" s="101">
        <f t="shared" si="17"/>
        <v>-7.8653602528891125E-3</v>
      </c>
      <c r="K101" s="101">
        <f t="shared" si="18"/>
        <v>0.99372441519448396</v>
      </c>
      <c r="L101" s="109" t="str">
        <f t="shared" si="19"/>
        <v>No</v>
      </c>
      <c r="M101" s="115">
        <f t="shared" si="20"/>
        <v>0</v>
      </c>
      <c r="N101" s="115">
        <v>1</v>
      </c>
    </row>
    <row r="102" spans="1:14" s="53" customFormat="1" ht="77.25" hidden="1" customHeight="1" thickBot="1" x14ac:dyDescent="0.3">
      <c r="A102" s="53" t="s">
        <v>123</v>
      </c>
      <c r="B102" s="430" t="s">
        <v>171</v>
      </c>
      <c r="C102" s="68" t="s">
        <v>179</v>
      </c>
      <c r="D102" s="78">
        <v>306</v>
      </c>
      <c r="E102" s="88">
        <v>0.48370000000000002</v>
      </c>
      <c r="F102" s="78">
        <v>391</v>
      </c>
      <c r="G102" s="88">
        <v>0.47060000000000002</v>
      </c>
      <c r="H102" s="90">
        <f t="shared" si="0"/>
        <v>-1.3100000000000001E-2</v>
      </c>
      <c r="I102" s="102">
        <f t="shared" si="16"/>
        <v>3.8122181809945692E-2</v>
      </c>
      <c r="J102" s="102">
        <f t="shared" si="17"/>
        <v>-0.34363195856178258</v>
      </c>
      <c r="K102" s="102">
        <f t="shared" si="18"/>
        <v>0.73112308726552366</v>
      </c>
      <c r="L102" s="109" t="str">
        <f t="shared" si="19"/>
        <v>No</v>
      </c>
      <c r="M102" s="115">
        <f t="shared" si="20"/>
        <v>0</v>
      </c>
      <c r="N102" s="115">
        <v>1</v>
      </c>
    </row>
    <row r="103" spans="1:14" s="60" customFormat="1" ht="77.25" hidden="1" customHeight="1" thickBot="1" x14ac:dyDescent="0.3">
      <c r="B103" s="62"/>
      <c r="C103" s="69" t="s">
        <v>176</v>
      </c>
      <c r="D103" s="79"/>
      <c r="E103" s="89"/>
      <c r="F103" s="79"/>
      <c r="G103" s="89"/>
      <c r="H103" s="93"/>
      <c r="I103" s="103"/>
      <c r="J103" s="103"/>
      <c r="K103" s="103"/>
      <c r="L103" s="110"/>
      <c r="M103" s="116"/>
      <c r="N103" s="116">
        <f>SUM(N97:N102)</f>
        <v>8</v>
      </c>
    </row>
    <row r="104" spans="1:14" s="53" customFormat="1" ht="77.25" hidden="1" customHeight="1" thickBot="1" x14ac:dyDescent="0.3">
      <c r="A104" s="53" t="s">
        <v>124</v>
      </c>
      <c r="B104" s="428" t="s">
        <v>170</v>
      </c>
      <c r="C104" s="67" t="s">
        <v>177</v>
      </c>
      <c r="D104" s="80">
        <v>2040</v>
      </c>
      <c r="E104" s="90">
        <v>0.31809999999999999</v>
      </c>
      <c r="F104" s="80">
        <v>2316</v>
      </c>
      <c r="G104" s="90">
        <v>0.32600000000000001</v>
      </c>
      <c r="H104" s="90">
        <f t="shared" si="0"/>
        <v>7.9000000000000181E-3</v>
      </c>
      <c r="I104" s="100">
        <f t="shared" si="16"/>
        <v>1.4184561902932945E-2</v>
      </c>
      <c r="J104" s="100">
        <f t="shared" si="17"/>
        <v>0.55694353157051213</v>
      </c>
      <c r="K104" s="100">
        <f t="shared" si="18"/>
        <v>0.57756601102589622</v>
      </c>
      <c r="L104" s="109" t="str">
        <f t="shared" si="19"/>
        <v>No</v>
      </c>
      <c r="M104" s="115">
        <f t="shared" si="20"/>
        <v>1</v>
      </c>
      <c r="N104" s="115">
        <v>1</v>
      </c>
    </row>
    <row r="105" spans="1:14" s="53" customFormat="1" ht="77.25" hidden="1" customHeight="1" thickBot="1" x14ac:dyDescent="0.3">
      <c r="A105" s="53" t="s">
        <v>124</v>
      </c>
      <c r="B105" s="429" t="s">
        <v>170</v>
      </c>
      <c r="C105" s="65" t="s">
        <v>178</v>
      </c>
      <c r="D105" s="74">
        <v>4068</v>
      </c>
      <c r="E105" s="84">
        <v>0.54200000000000004</v>
      </c>
      <c r="F105" s="74">
        <v>4569</v>
      </c>
      <c r="G105" s="84">
        <v>0.55989999999999995</v>
      </c>
      <c r="H105" s="90">
        <f t="shared" si="0"/>
        <v>1.7899999999999916E-2</v>
      </c>
      <c r="I105" s="101">
        <f t="shared" si="16"/>
        <v>1.0721609303338184E-2</v>
      </c>
      <c r="J105" s="101">
        <f t="shared" si="17"/>
        <v>1.6695254875988377</v>
      </c>
      <c r="K105" s="101">
        <f t="shared" si="18"/>
        <v>9.5013283535519522E-2</v>
      </c>
      <c r="L105" s="109" t="str">
        <f t="shared" si="19"/>
        <v>No</v>
      </c>
      <c r="M105" s="115">
        <f t="shared" si="20"/>
        <v>1</v>
      </c>
      <c r="N105" s="115">
        <v>1</v>
      </c>
    </row>
    <row r="106" spans="1:14" s="53" customFormat="1" ht="77.25" hidden="1" customHeight="1" thickBot="1" x14ac:dyDescent="0.3">
      <c r="A106" s="53" t="s">
        <v>124</v>
      </c>
      <c r="B106" s="430" t="s">
        <v>170</v>
      </c>
      <c r="C106" s="68" t="s">
        <v>179</v>
      </c>
      <c r="D106" s="75">
        <v>2537</v>
      </c>
      <c r="E106" s="85">
        <v>0.54079999999999995</v>
      </c>
      <c r="F106" s="75">
        <v>2804</v>
      </c>
      <c r="G106" s="85">
        <v>0.54710000000000003</v>
      </c>
      <c r="H106" s="90">
        <f t="shared" si="0"/>
        <v>6.3000000000000833E-3</v>
      </c>
      <c r="I106" s="102">
        <f t="shared" si="16"/>
        <v>1.3647440260286612E-2</v>
      </c>
      <c r="J106" s="102">
        <f t="shared" si="17"/>
        <v>0.46162502856545029</v>
      </c>
      <c r="K106" s="102">
        <f t="shared" si="18"/>
        <v>0.64435024291045462</v>
      </c>
      <c r="L106" s="109" t="str">
        <f t="shared" si="19"/>
        <v>No</v>
      </c>
      <c r="M106" s="115">
        <f t="shared" si="20"/>
        <v>1</v>
      </c>
      <c r="N106" s="115">
        <v>1</v>
      </c>
    </row>
    <row r="107" spans="1:14" s="53" customFormat="1" ht="77.25" hidden="1" customHeight="1" thickBot="1" x14ac:dyDescent="0.3">
      <c r="A107" s="53" t="s">
        <v>124</v>
      </c>
      <c r="B107" s="428" t="s">
        <v>171</v>
      </c>
      <c r="C107" s="67" t="s">
        <v>177</v>
      </c>
      <c r="D107" s="76">
        <v>4984</v>
      </c>
      <c r="E107" s="86">
        <v>0.68840000000000001</v>
      </c>
      <c r="F107" s="76">
        <v>5530</v>
      </c>
      <c r="G107" s="86">
        <v>0.68300000000000005</v>
      </c>
      <c r="H107" s="90">
        <f t="shared" si="0"/>
        <v>-5.3999999999999604E-3</v>
      </c>
      <c r="I107" s="100">
        <f t="shared" si="16"/>
        <v>9.0659192454510939E-3</v>
      </c>
      <c r="J107" s="100">
        <f t="shared" si="17"/>
        <v>-0.5956373373510313</v>
      </c>
      <c r="K107" s="100">
        <f t="shared" si="18"/>
        <v>0.5514175279624387</v>
      </c>
      <c r="L107" s="109" t="str">
        <f t="shared" si="19"/>
        <v>No</v>
      </c>
      <c r="M107" s="115">
        <f t="shared" si="20"/>
        <v>0</v>
      </c>
      <c r="N107" s="115">
        <v>1</v>
      </c>
    </row>
    <row r="108" spans="1:14" s="53" customFormat="1" ht="77.25" hidden="1" customHeight="1" thickBot="1" x14ac:dyDescent="0.3">
      <c r="A108" s="53" t="s">
        <v>124</v>
      </c>
      <c r="B108" s="429" t="s">
        <v>171</v>
      </c>
      <c r="C108" s="65" t="s">
        <v>178</v>
      </c>
      <c r="D108" s="77">
        <v>4984</v>
      </c>
      <c r="E108" s="87">
        <v>0.44</v>
      </c>
      <c r="F108" s="77">
        <v>5530</v>
      </c>
      <c r="G108" s="87">
        <v>0.43509999999999999</v>
      </c>
      <c r="H108" s="90">
        <f t="shared" ref="H108:H182" si="21">G108-E108</f>
        <v>-4.9000000000000155E-3</v>
      </c>
      <c r="I108" s="101">
        <f t="shared" si="16"/>
        <v>9.6894010850223106E-3</v>
      </c>
      <c r="J108" s="101">
        <f t="shared" si="17"/>
        <v>-0.50570721110661221</v>
      </c>
      <c r="K108" s="101">
        <f t="shared" si="18"/>
        <v>0.61306220526618116</v>
      </c>
      <c r="L108" s="109" t="str">
        <f t="shared" si="19"/>
        <v>No</v>
      </c>
      <c r="M108" s="115">
        <f t="shared" si="20"/>
        <v>0</v>
      </c>
      <c r="N108" s="115">
        <v>1</v>
      </c>
    </row>
    <row r="109" spans="1:14" s="53" customFormat="1" ht="77.25" hidden="1" customHeight="1" thickBot="1" x14ac:dyDescent="0.3">
      <c r="A109" s="53" t="s">
        <v>124</v>
      </c>
      <c r="B109" s="430" t="s">
        <v>171</v>
      </c>
      <c r="C109" s="68" t="s">
        <v>179</v>
      </c>
      <c r="D109" s="78">
        <v>5014</v>
      </c>
      <c r="E109" s="88">
        <v>0.69630000000000003</v>
      </c>
      <c r="F109" s="78">
        <v>5530</v>
      </c>
      <c r="G109" s="88">
        <v>0.69279999999999997</v>
      </c>
      <c r="H109" s="90">
        <f t="shared" si="21"/>
        <v>-3.5000000000000586E-3</v>
      </c>
      <c r="I109" s="102">
        <f t="shared" si="16"/>
        <v>8.9811623079757343E-3</v>
      </c>
      <c r="J109" s="102">
        <f t="shared" si="17"/>
        <v>-0.38970457051999591</v>
      </c>
      <c r="K109" s="102">
        <f t="shared" si="18"/>
        <v>0.69675501642529025</v>
      </c>
      <c r="L109" s="109" t="str">
        <f t="shared" si="19"/>
        <v>No</v>
      </c>
      <c r="M109" s="115">
        <f t="shared" si="20"/>
        <v>0</v>
      </c>
      <c r="N109" s="115">
        <v>1</v>
      </c>
    </row>
    <row r="110" spans="1:14" s="60" customFormat="1" ht="77.25" hidden="1" customHeight="1" thickBot="1" x14ac:dyDescent="0.3">
      <c r="B110" s="62"/>
      <c r="C110" s="69" t="s">
        <v>176</v>
      </c>
      <c r="D110" s="79"/>
      <c r="E110" s="89"/>
      <c r="F110" s="79"/>
      <c r="G110" s="89"/>
      <c r="H110" s="93"/>
      <c r="I110" s="103"/>
      <c r="J110" s="103"/>
      <c r="K110" s="103"/>
      <c r="L110" s="110"/>
      <c r="M110" s="116"/>
      <c r="N110" s="116">
        <f>SUM(N104:N109)</f>
        <v>6</v>
      </c>
    </row>
    <row r="111" spans="1:14" s="53" customFormat="1" ht="77.25" hidden="1" customHeight="1" thickBot="1" x14ac:dyDescent="0.3">
      <c r="A111" s="53" t="s">
        <v>125</v>
      </c>
      <c r="B111" s="428" t="s">
        <v>170</v>
      </c>
      <c r="C111" s="67" t="s">
        <v>177</v>
      </c>
      <c r="D111" s="80">
        <v>3874</v>
      </c>
      <c r="E111" s="90">
        <v>0.91349999999999998</v>
      </c>
      <c r="F111" s="80">
        <v>3928</v>
      </c>
      <c r="G111" s="90">
        <v>0.9022</v>
      </c>
      <c r="H111" s="90">
        <f t="shared" si="21"/>
        <v>-1.1299999999999977E-2</v>
      </c>
      <c r="I111" s="100">
        <f t="shared" si="16"/>
        <v>6.5467600703718052E-3</v>
      </c>
      <c r="J111" s="100">
        <f t="shared" si="17"/>
        <v>-1.7260446203213653</v>
      </c>
      <c r="K111" s="100">
        <f t="shared" si="18"/>
        <v>8.4339385654406129E-2</v>
      </c>
      <c r="L111" s="109" t="str">
        <f t="shared" si="19"/>
        <v>No</v>
      </c>
      <c r="M111" s="115">
        <f t="shared" si="20"/>
        <v>0</v>
      </c>
      <c r="N111" s="115">
        <v>1</v>
      </c>
    </row>
    <row r="112" spans="1:14" s="53" customFormat="1" ht="77.25" hidden="1" customHeight="1" thickBot="1" x14ac:dyDescent="0.3">
      <c r="A112" s="53" t="s">
        <v>125</v>
      </c>
      <c r="B112" s="429" t="s">
        <v>170</v>
      </c>
      <c r="C112" s="65" t="s">
        <v>178</v>
      </c>
      <c r="D112" s="74">
        <v>3862</v>
      </c>
      <c r="E112" s="84">
        <v>0.95179999999999998</v>
      </c>
      <c r="F112" s="74">
        <v>3829</v>
      </c>
      <c r="G112" s="84">
        <v>0.94440000000000002</v>
      </c>
      <c r="H112" s="90">
        <f t="shared" si="21"/>
        <v>-7.3999999999999622E-3</v>
      </c>
      <c r="I112" s="101">
        <f t="shared" si="16"/>
        <v>5.0588955567823961E-3</v>
      </c>
      <c r="J112" s="101">
        <f t="shared" si="17"/>
        <v>-1.4627698708029022</v>
      </c>
      <c r="K112" s="101">
        <f t="shared" si="18"/>
        <v>0.14353035996555041</v>
      </c>
      <c r="L112" s="109" t="str">
        <f t="shared" si="19"/>
        <v>No</v>
      </c>
      <c r="M112" s="115">
        <f t="shared" si="20"/>
        <v>0</v>
      </c>
      <c r="N112" s="115">
        <v>1</v>
      </c>
    </row>
    <row r="113" spans="1:14" s="53" customFormat="1" ht="77.25" hidden="1" customHeight="1" thickBot="1" x14ac:dyDescent="0.3">
      <c r="A113" s="53" t="s">
        <v>125</v>
      </c>
      <c r="B113" s="430" t="s">
        <v>170</v>
      </c>
      <c r="C113" s="68" t="s">
        <v>179</v>
      </c>
      <c r="D113" s="75">
        <v>3985</v>
      </c>
      <c r="E113" s="85">
        <v>0.91620000000000001</v>
      </c>
      <c r="F113" s="75">
        <v>3868</v>
      </c>
      <c r="G113" s="85">
        <v>0.93230000000000002</v>
      </c>
      <c r="H113" s="90">
        <f t="shared" si="21"/>
        <v>1.6100000000000003E-2</v>
      </c>
      <c r="I113" s="102">
        <f t="shared" si="16"/>
        <v>5.96525776385052E-3</v>
      </c>
      <c r="J113" s="102">
        <f t="shared" si="17"/>
        <v>2.6989613252869056</v>
      </c>
      <c r="K113" s="102">
        <f t="shared" si="18"/>
        <v>6.955625908486418E-3</v>
      </c>
      <c r="L113" s="109" t="str">
        <f t="shared" si="19"/>
        <v>Yes</v>
      </c>
      <c r="M113" s="115">
        <f t="shared" si="20"/>
        <v>1</v>
      </c>
      <c r="N113" s="115">
        <v>2</v>
      </c>
    </row>
    <row r="114" spans="1:14" s="53" customFormat="1" ht="77.25" hidden="1" customHeight="1" thickBot="1" x14ac:dyDescent="0.3">
      <c r="A114" s="53" t="s">
        <v>125</v>
      </c>
      <c r="B114" s="428" t="s">
        <v>171</v>
      </c>
      <c r="C114" s="67" t="s">
        <v>177</v>
      </c>
      <c r="D114" s="76">
        <v>4432</v>
      </c>
      <c r="E114" s="86">
        <v>0.56810000000000005</v>
      </c>
      <c r="F114" s="76">
        <v>4424</v>
      </c>
      <c r="G114" s="86">
        <v>0.54479999999999995</v>
      </c>
      <c r="H114" s="90">
        <f t="shared" si="21"/>
        <v>-2.3300000000000098E-2</v>
      </c>
      <c r="I114" s="100">
        <f t="shared" si="16"/>
        <v>1.0555464222601904E-2</v>
      </c>
      <c r="J114" s="100">
        <f t="shared" si="17"/>
        <v>-2.2073875206842097</v>
      </c>
      <c r="K114" s="100">
        <f t="shared" si="18"/>
        <v>2.7286997471611008E-2</v>
      </c>
      <c r="L114" s="109" t="str">
        <f t="shared" si="19"/>
        <v>Yes</v>
      </c>
      <c r="M114" s="115">
        <f t="shared" si="20"/>
        <v>0</v>
      </c>
      <c r="N114" s="115">
        <v>0</v>
      </c>
    </row>
    <row r="115" spans="1:14" s="53" customFormat="1" ht="77.25" hidden="1" customHeight="1" thickBot="1" x14ac:dyDescent="0.3">
      <c r="A115" s="53" t="s">
        <v>125</v>
      </c>
      <c r="B115" s="429" t="s">
        <v>171</v>
      </c>
      <c r="C115" s="65" t="s">
        <v>178</v>
      </c>
      <c r="D115" s="77">
        <v>4159</v>
      </c>
      <c r="E115" s="87">
        <v>0.53910000000000002</v>
      </c>
      <c r="F115" s="77">
        <v>4099</v>
      </c>
      <c r="G115" s="87">
        <v>0.52090000000000003</v>
      </c>
      <c r="H115" s="90">
        <f t="shared" si="21"/>
        <v>-1.8199999999999994E-2</v>
      </c>
      <c r="I115" s="101">
        <f t="shared" si="16"/>
        <v>1.0983029327642483E-2</v>
      </c>
      <c r="J115" s="101">
        <f t="shared" si="17"/>
        <v>-1.6571020123012492</v>
      </c>
      <c r="K115" s="101">
        <f t="shared" si="18"/>
        <v>9.7498852380488277E-2</v>
      </c>
      <c r="L115" s="109" t="str">
        <f t="shared" si="19"/>
        <v>No</v>
      </c>
      <c r="M115" s="115">
        <f t="shared" si="20"/>
        <v>0</v>
      </c>
      <c r="N115" s="115">
        <v>1</v>
      </c>
    </row>
    <row r="116" spans="1:14" s="53" customFormat="1" ht="77.25" hidden="1" customHeight="1" thickBot="1" x14ac:dyDescent="0.3">
      <c r="A116" s="53" t="s">
        <v>125</v>
      </c>
      <c r="B116" s="430" t="s">
        <v>171</v>
      </c>
      <c r="C116" s="68" t="s">
        <v>179</v>
      </c>
      <c r="D116" s="78">
        <v>4414</v>
      </c>
      <c r="E116" s="88">
        <v>0.5655</v>
      </c>
      <c r="F116" s="78">
        <v>4272</v>
      </c>
      <c r="G116" s="88">
        <v>0.58050000000000002</v>
      </c>
      <c r="H116" s="90">
        <f t="shared" si="21"/>
        <v>1.5000000000000013E-2</v>
      </c>
      <c r="I116" s="102">
        <f t="shared" si="16"/>
        <v>1.0614598093573855E-2</v>
      </c>
      <c r="J116" s="102">
        <f t="shared" si="17"/>
        <v>1.4131481821324077</v>
      </c>
      <c r="K116" s="102">
        <f t="shared" si="18"/>
        <v>0.15761215877303303</v>
      </c>
      <c r="L116" s="109" t="str">
        <f t="shared" si="19"/>
        <v>No</v>
      </c>
      <c r="M116" s="115">
        <f t="shared" si="20"/>
        <v>1</v>
      </c>
      <c r="N116" s="115">
        <v>1</v>
      </c>
    </row>
    <row r="117" spans="1:14" s="60" customFormat="1" ht="77.25" hidden="1" customHeight="1" thickBot="1" x14ac:dyDescent="0.3">
      <c r="B117" s="62"/>
      <c r="C117" s="69" t="s">
        <v>176</v>
      </c>
      <c r="D117" s="79"/>
      <c r="E117" s="89"/>
      <c r="F117" s="79"/>
      <c r="G117" s="89"/>
      <c r="H117" s="93"/>
      <c r="I117" s="103"/>
      <c r="J117" s="103"/>
      <c r="K117" s="103"/>
      <c r="L117" s="110"/>
      <c r="M117" s="116"/>
      <c r="N117" s="116">
        <f>SUM(N111:N116)</f>
        <v>6</v>
      </c>
    </row>
    <row r="118" spans="1:14" s="53" customFormat="1" ht="77.25" hidden="1" customHeight="1" thickBot="1" x14ac:dyDescent="0.3">
      <c r="A118" s="53" t="s">
        <v>126</v>
      </c>
      <c r="B118" s="428" t="s">
        <v>170</v>
      </c>
      <c r="C118" s="67" t="s">
        <v>177</v>
      </c>
      <c r="D118" s="80">
        <v>64</v>
      </c>
      <c r="E118" s="90">
        <v>0.75</v>
      </c>
      <c r="F118" s="80">
        <v>51</v>
      </c>
      <c r="G118" s="90">
        <v>0.58819999999999995</v>
      </c>
      <c r="H118" s="90">
        <f t="shared" si="21"/>
        <v>-0.16180000000000005</v>
      </c>
      <c r="I118" s="100">
        <f t="shared" si="16"/>
        <v>8.7630554983217285E-2</v>
      </c>
      <c r="J118" s="100">
        <f t="shared" si="17"/>
        <v>-1.8463879411808752</v>
      </c>
      <c r="K118" s="100">
        <f t="shared" si="18"/>
        <v>6.4835896886335398E-2</v>
      </c>
      <c r="L118" s="109" t="str">
        <f t="shared" si="19"/>
        <v>No</v>
      </c>
      <c r="M118" s="115">
        <f t="shared" si="20"/>
        <v>0</v>
      </c>
      <c r="N118" s="115">
        <v>1</v>
      </c>
    </row>
    <row r="119" spans="1:14" s="53" customFormat="1" ht="77.25" hidden="1" customHeight="1" thickBot="1" x14ac:dyDescent="0.3">
      <c r="A119" s="53" t="s">
        <v>126</v>
      </c>
      <c r="B119" s="429" t="s">
        <v>170</v>
      </c>
      <c r="C119" s="65" t="s">
        <v>178</v>
      </c>
      <c r="D119" s="74">
        <v>74</v>
      </c>
      <c r="E119" s="84">
        <v>0.68920000000000003</v>
      </c>
      <c r="F119" s="74">
        <v>59</v>
      </c>
      <c r="G119" s="84">
        <v>0.64410000000000001</v>
      </c>
      <c r="H119" s="90">
        <f t="shared" si="21"/>
        <v>-4.5100000000000029E-2</v>
      </c>
      <c r="I119" s="101">
        <f t="shared" ref="I119:I193" si="22">SQRT(E119*(1-E119)/D119+G119*(1-G119)/F119)</f>
        <v>8.2340647334046571E-2</v>
      </c>
      <c r="J119" s="101">
        <f t="shared" ref="J119:J193" si="23">H119/I119</f>
        <v>-0.54772462277390777</v>
      </c>
      <c r="K119" s="101">
        <f t="shared" ref="K119:K193" si="24">2*(1-NORMDIST(ABS(J119),0,1,TRUE))</f>
        <v>0.58388100245693431</v>
      </c>
      <c r="L119" s="109" t="str">
        <f t="shared" ref="L119:L193" si="25">IF(K119="","",IF(K119&lt;=0.05, "Yes", "No"))</f>
        <v>No</v>
      </c>
      <c r="M119" s="115">
        <f t="shared" ref="M119:M193" si="26">IF(H119&gt;=0, 1, 0)</f>
        <v>0</v>
      </c>
      <c r="N119" s="115">
        <v>1</v>
      </c>
    </row>
    <row r="120" spans="1:14" s="53" customFormat="1" ht="77.25" hidden="1" customHeight="1" thickBot="1" x14ac:dyDescent="0.3">
      <c r="A120" s="53" t="s">
        <v>126</v>
      </c>
      <c r="B120" s="430" t="s">
        <v>170</v>
      </c>
      <c r="C120" s="68" t="s">
        <v>179</v>
      </c>
      <c r="D120" s="75">
        <v>69</v>
      </c>
      <c r="E120" s="85">
        <v>0.73909999999999998</v>
      </c>
      <c r="F120" s="75">
        <v>58</v>
      </c>
      <c r="G120" s="85">
        <v>0.58620000000000005</v>
      </c>
      <c r="H120" s="90">
        <f t="shared" si="21"/>
        <v>-0.15289999999999992</v>
      </c>
      <c r="I120" s="102">
        <f t="shared" si="22"/>
        <v>8.3527772151780033E-2</v>
      </c>
      <c r="J120" s="102">
        <f t="shared" si="23"/>
        <v>-1.8305288895070995</v>
      </c>
      <c r="K120" s="102">
        <f t="shared" si="24"/>
        <v>6.7170890919746373E-2</v>
      </c>
      <c r="L120" s="109" t="str">
        <f t="shared" si="25"/>
        <v>No</v>
      </c>
      <c r="M120" s="115">
        <f t="shared" si="26"/>
        <v>0</v>
      </c>
      <c r="N120" s="115">
        <v>1</v>
      </c>
    </row>
    <row r="121" spans="1:14" s="53" customFormat="1" ht="77.25" hidden="1" customHeight="1" thickBot="1" x14ac:dyDescent="0.3">
      <c r="A121" s="53" t="s">
        <v>126</v>
      </c>
      <c r="B121" s="428" t="s">
        <v>171</v>
      </c>
      <c r="C121" s="67" t="s">
        <v>177</v>
      </c>
      <c r="D121" s="76">
        <v>102</v>
      </c>
      <c r="E121" s="86">
        <v>0.74509999999999998</v>
      </c>
      <c r="F121" s="76">
        <v>80</v>
      </c>
      <c r="G121" s="86">
        <v>0.66249999999999998</v>
      </c>
      <c r="H121" s="90">
        <f t="shared" si="21"/>
        <v>-8.2600000000000007E-2</v>
      </c>
      <c r="I121" s="100">
        <f t="shared" si="22"/>
        <v>6.8241786207600991E-2</v>
      </c>
      <c r="J121" s="100">
        <f t="shared" si="23"/>
        <v>-1.210402080460194</v>
      </c>
      <c r="K121" s="100">
        <f t="shared" si="24"/>
        <v>0.22612464397893928</v>
      </c>
      <c r="L121" s="109" t="str">
        <f t="shared" si="25"/>
        <v>No</v>
      </c>
      <c r="M121" s="115">
        <f t="shared" si="26"/>
        <v>0</v>
      </c>
      <c r="N121" s="115">
        <v>1</v>
      </c>
    </row>
    <row r="122" spans="1:14" s="53" customFormat="1" ht="77.25" hidden="1" customHeight="1" thickBot="1" x14ac:dyDescent="0.3">
      <c r="A122" s="53" t="s">
        <v>126</v>
      </c>
      <c r="B122" s="429" t="s">
        <v>171</v>
      </c>
      <c r="C122" s="65" t="s">
        <v>178</v>
      </c>
      <c r="D122" s="77">
        <v>102</v>
      </c>
      <c r="E122" s="87">
        <v>0.63729999999999998</v>
      </c>
      <c r="F122" s="77">
        <v>80</v>
      </c>
      <c r="G122" s="87">
        <v>0.53749999999999998</v>
      </c>
      <c r="H122" s="90">
        <f t="shared" si="21"/>
        <v>-9.98E-2</v>
      </c>
      <c r="I122" s="101">
        <f t="shared" si="22"/>
        <v>7.3304745402527738E-2</v>
      </c>
      <c r="J122" s="101">
        <f t="shared" si="23"/>
        <v>-1.3614398283764946</v>
      </c>
      <c r="K122" s="101">
        <f t="shared" si="24"/>
        <v>0.17337473677699289</v>
      </c>
      <c r="L122" s="109" t="str">
        <f t="shared" si="25"/>
        <v>No</v>
      </c>
      <c r="M122" s="115">
        <f t="shared" si="26"/>
        <v>0</v>
      </c>
      <c r="N122" s="115">
        <v>1</v>
      </c>
    </row>
    <row r="123" spans="1:14" s="53" customFormat="1" ht="77.25" hidden="1" customHeight="1" thickBot="1" x14ac:dyDescent="0.3">
      <c r="A123" s="53" t="s">
        <v>126</v>
      </c>
      <c r="B123" s="430" t="s">
        <v>171</v>
      </c>
      <c r="C123" s="68" t="s">
        <v>179</v>
      </c>
      <c r="D123" s="78">
        <v>102</v>
      </c>
      <c r="E123" s="88">
        <v>0.66669999999999996</v>
      </c>
      <c r="F123" s="78">
        <v>80</v>
      </c>
      <c r="G123" s="88">
        <v>0.6</v>
      </c>
      <c r="H123" s="90">
        <f t="shared" si="21"/>
        <v>-6.6699999999999982E-2</v>
      </c>
      <c r="I123" s="102">
        <f t="shared" si="22"/>
        <v>7.1962075387787747E-2</v>
      </c>
      <c r="J123" s="102">
        <f t="shared" si="23"/>
        <v>-0.92687710353777875</v>
      </c>
      <c r="K123" s="102">
        <f t="shared" si="24"/>
        <v>0.35399034641542193</v>
      </c>
      <c r="L123" s="109" t="str">
        <f t="shared" si="25"/>
        <v>No</v>
      </c>
      <c r="M123" s="115">
        <f t="shared" si="26"/>
        <v>0</v>
      </c>
      <c r="N123" s="115">
        <v>1</v>
      </c>
    </row>
    <row r="124" spans="1:14" s="60" customFormat="1" ht="77.25" hidden="1" customHeight="1" thickBot="1" x14ac:dyDescent="0.3">
      <c r="B124" s="62"/>
      <c r="C124" s="69" t="s">
        <v>176</v>
      </c>
      <c r="D124" s="79"/>
      <c r="E124" s="89"/>
      <c r="F124" s="79"/>
      <c r="G124" s="89"/>
      <c r="H124" s="93"/>
      <c r="I124" s="103"/>
      <c r="J124" s="103"/>
      <c r="K124" s="103"/>
      <c r="L124" s="110"/>
      <c r="M124" s="116"/>
      <c r="N124" s="116">
        <f>SUM(N118:N123)</f>
        <v>6</v>
      </c>
    </row>
    <row r="125" spans="1:14" s="53" customFormat="1" ht="77.25" hidden="1" customHeight="1" thickBot="1" x14ac:dyDescent="0.3">
      <c r="A125" s="53" t="s">
        <v>127</v>
      </c>
      <c r="B125" s="428" t="s">
        <v>170</v>
      </c>
      <c r="C125" s="67" t="s">
        <v>177</v>
      </c>
      <c r="D125" s="80">
        <v>506</v>
      </c>
      <c r="E125" s="90">
        <v>0.56320000000000003</v>
      </c>
      <c r="F125" s="80">
        <v>478</v>
      </c>
      <c r="G125" s="90">
        <v>0.53139999999999998</v>
      </c>
      <c r="H125" s="90">
        <f t="shared" si="21"/>
        <v>-3.180000000000005E-2</v>
      </c>
      <c r="I125" s="100">
        <f t="shared" si="22"/>
        <v>3.1735268484469066E-2</v>
      </c>
      <c r="J125" s="100">
        <f t="shared" si="23"/>
        <v>-1.0020397342963292</v>
      </c>
      <c r="K125" s="100">
        <f t="shared" si="24"/>
        <v>0.31632440261426842</v>
      </c>
      <c r="L125" s="109" t="str">
        <f t="shared" si="25"/>
        <v>No</v>
      </c>
      <c r="M125" s="115">
        <f t="shared" si="26"/>
        <v>0</v>
      </c>
      <c r="N125" s="115">
        <v>1</v>
      </c>
    </row>
    <row r="126" spans="1:14" s="53" customFormat="1" ht="77.25" hidden="1" customHeight="1" thickBot="1" x14ac:dyDescent="0.3">
      <c r="A126" s="53" t="s">
        <v>127</v>
      </c>
      <c r="B126" s="429" t="s">
        <v>170</v>
      </c>
      <c r="C126" s="65" t="s">
        <v>178</v>
      </c>
      <c r="D126" s="74">
        <v>965</v>
      </c>
      <c r="E126" s="84">
        <v>0.70569999999999999</v>
      </c>
      <c r="F126" s="74">
        <v>925</v>
      </c>
      <c r="G126" s="84">
        <v>0.70809999999999995</v>
      </c>
      <c r="H126" s="90">
        <f t="shared" si="21"/>
        <v>2.3999999999999577E-3</v>
      </c>
      <c r="I126" s="101">
        <f t="shared" si="22"/>
        <v>2.0944536571888502E-2</v>
      </c>
      <c r="J126" s="101">
        <f t="shared" si="23"/>
        <v>0.11458835538147968</v>
      </c>
      <c r="K126" s="101">
        <f t="shared" si="24"/>
        <v>0.9087714099668962</v>
      </c>
      <c r="L126" s="109" t="str">
        <f t="shared" si="25"/>
        <v>No</v>
      </c>
      <c r="M126" s="115">
        <f t="shared" si="26"/>
        <v>1</v>
      </c>
      <c r="N126" s="115">
        <v>1</v>
      </c>
    </row>
    <row r="127" spans="1:14" s="53" customFormat="1" ht="77.25" hidden="1" customHeight="1" thickBot="1" x14ac:dyDescent="0.3">
      <c r="A127" s="53" t="s">
        <v>127</v>
      </c>
      <c r="B127" s="430" t="s">
        <v>170</v>
      </c>
      <c r="C127" s="68" t="s">
        <v>179</v>
      </c>
      <c r="D127" s="75">
        <v>652</v>
      </c>
      <c r="E127" s="85">
        <v>0.73309999999999997</v>
      </c>
      <c r="F127" s="75">
        <v>581</v>
      </c>
      <c r="G127" s="85">
        <v>0.67989999999999995</v>
      </c>
      <c r="H127" s="90">
        <f t="shared" si="21"/>
        <v>-5.3200000000000025E-2</v>
      </c>
      <c r="I127" s="102">
        <f t="shared" si="22"/>
        <v>2.5974745056157818E-2</v>
      </c>
      <c r="J127" s="102">
        <f t="shared" si="23"/>
        <v>-2.0481432978449168</v>
      </c>
      <c r="K127" s="102">
        <f t="shared" si="24"/>
        <v>4.0545960452782248E-2</v>
      </c>
      <c r="L127" s="109" t="str">
        <f t="shared" si="25"/>
        <v>Yes</v>
      </c>
      <c r="M127" s="115">
        <f t="shared" si="26"/>
        <v>0</v>
      </c>
      <c r="N127" s="115">
        <v>0</v>
      </c>
    </row>
    <row r="128" spans="1:14" s="53" customFormat="1" ht="77.25" hidden="1" customHeight="1" thickBot="1" x14ac:dyDescent="0.3">
      <c r="A128" s="53" t="s">
        <v>127</v>
      </c>
      <c r="B128" s="428" t="s">
        <v>171</v>
      </c>
      <c r="C128" s="67" t="s">
        <v>177</v>
      </c>
      <c r="D128" s="76">
        <v>1402</v>
      </c>
      <c r="E128" s="86">
        <v>0.78959999999999997</v>
      </c>
      <c r="F128" s="76">
        <v>1373</v>
      </c>
      <c r="G128" s="86">
        <v>0.79320000000000002</v>
      </c>
      <c r="H128" s="90">
        <f t="shared" si="21"/>
        <v>3.6000000000000476E-3</v>
      </c>
      <c r="I128" s="100">
        <f t="shared" si="22"/>
        <v>1.5426191222238964E-2</v>
      </c>
      <c r="J128" s="100">
        <f t="shared" si="23"/>
        <v>0.23336933583515776</v>
      </c>
      <c r="K128" s="100">
        <f t="shared" si="24"/>
        <v>0.81547462230436096</v>
      </c>
      <c r="L128" s="109" t="str">
        <f t="shared" si="25"/>
        <v>No</v>
      </c>
      <c r="M128" s="115">
        <f t="shared" si="26"/>
        <v>1</v>
      </c>
      <c r="N128" s="115">
        <v>1</v>
      </c>
    </row>
    <row r="129" spans="1:14" s="53" customFormat="1" ht="77.25" hidden="1" customHeight="1" thickBot="1" x14ac:dyDescent="0.3">
      <c r="A129" s="53" t="s">
        <v>127</v>
      </c>
      <c r="B129" s="429" t="s">
        <v>171</v>
      </c>
      <c r="C129" s="65" t="s">
        <v>178</v>
      </c>
      <c r="D129" s="77">
        <v>1402</v>
      </c>
      <c r="E129" s="87">
        <v>0.6462</v>
      </c>
      <c r="F129" s="77">
        <v>1373</v>
      </c>
      <c r="G129" s="87">
        <v>0.65190000000000003</v>
      </c>
      <c r="H129" s="90">
        <f t="shared" si="21"/>
        <v>5.7000000000000384E-3</v>
      </c>
      <c r="I129" s="101">
        <f t="shared" si="22"/>
        <v>1.812039711004804E-2</v>
      </c>
      <c r="J129" s="101">
        <f t="shared" si="23"/>
        <v>0.31456264260562483</v>
      </c>
      <c r="K129" s="101">
        <f t="shared" si="24"/>
        <v>0.75309374707990528</v>
      </c>
      <c r="L129" s="109" t="str">
        <f t="shared" si="25"/>
        <v>No</v>
      </c>
      <c r="M129" s="115">
        <f t="shared" si="26"/>
        <v>1</v>
      </c>
      <c r="N129" s="115">
        <v>1</v>
      </c>
    </row>
    <row r="130" spans="1:14" s="53" customFormat="1" ht="77.25" hidden="1" customHeight="1" thickBot="1" x14ac:dyDescent="0.3">
      <c r="A130" s="53" t="s">
        <v>127</v>
      </c>
      <c r="B130" s="430" t="s">
        <v>171</v>
      </c>
      <c r="C130" s="68" t="s">
        <v>179</v>
      </c>
      <c r="D130" s="78">
        <v>1402</v>
      </c>
      <c r="E130" s="88">
        <v>0.81240000000000001</v>
      </c>
      <c r="F130" s="78">
        <v>1373</v>
      </c>
      <c r="G130" s="88">
        <v>0.80630000000000002</v>
      </c>
      <c r="H130" s="90">
        <f t="shared" si="21"/>
        <v>-6.0999999999999943E-3</v>
      </c>
      <c r="I130" s="102">
        <f t="shared" si="22"/>
        <v>1.491500725699724E-2</v>
      </c>
      <c r="J130" s="102">
        <f t="shared" si="23"/>
        <v>-0.40898404505557545</v>
      </c>
      <c r="K130" s="102">
        <f t="shared" si="24"/>
        <v>0.68255136994229426</v>
      </c>
      <c r="L130" s="109" t="str">
        <f t="shared" si="25"/>
        <v>No</v>
      </c>
      <c r="M130" s="115">
        <f t="shared" si="26"/>
        <v>0</v>
      </c>
      <c r="N130" s="115">
        <v>1</v>
      </c>
    </row>
    <row r="131" spans="1:14" s="60" customFormat="1" ht="77.25" hidden="1" customHeight="1" thickBot="1" x14ac:dyDescent="0.3">
      <c r="B131" s="62"/>
      <c r="C131" s="69" t="s">
        <v>176</v>
      </c>
      <c r="D131" s="79"/>
      <c r="E131" s="89"/>
      <c r="F131" s="79"/>
      <c r="G131" s="89"/>
      <c r="H131" s="93"/>
      <c r="I131" s="103"/>
      <c r="J131" s="103"/>
      <c r="K131" s="103"/>
      <c r="L131" s="110"/>
      <c r="M131" s="116"/>
      <c r="N131" s="116">
        <f>SUM(N125:N130)</f>
        <v>5</v>
      </c>
    </row>
    <row r="132" spans="1:14" s="53" customFormat="1" ht="77.25" hidden="1" customHeight="1" thickBot="1" x14ac:dyDescent="0.3">
      <c r="A132" s="438" t="s">
        <v>128</v>
      </c>
      <c r="B132" s="441" t="s">
        <v>170</v>
      </c>
      <c r="C132" s="67" t="s">
        <v>177</v>
      </c>
      <c r="D132" s="80">
        <v>1124</v>
      </c>
      <c r="E132" s="90">
        <v>0.43330000000000002</v>
      </c>
      <c r="F132" s="80">
        <v>1038</v>
      </c>
      <c r="G132" s="90">
        <v>0.46529999999999999</v>
      </c>
      <c r="H132" s="90">
        <f t="shared" si="21"/>
        <v>3.1999999999999973E-2</v>
      </c>
      <c r="I132" s="100">
        <f t="shared" si="22"/>
        <v>2.1404429826638333E-2</v>
      </c>
      <c r="J132" s="100">
        <f t="shared" si="23"/>
        <v>1.4950176322928814</v>
      </c>
      <c r="K132" s="100">
        <f t="shared" si="24"/>
        <v>0.13490984049194532</v>
      </c>
      <c r="L132" s="109" t="str">
        <f t="shared" si="25"/>
        <v>No</v>
      </c>
      <c r="M132" s="115">
        <f t="shared" si="26"/>
        <v>1</v>
      </c>
      <c r="N132" s="115">
        <v>1</v>
      </c>
    </row>
    <row r="133" spans="1:14" s="53" customFormat="1" ht="77.25" hidden="1" customHeight="1" thickBot="1" x14ac:dyDescent="0.3">
      <c r="A133" s="439"/>
      <c r="B133" s="442" t="s">
        <v>170</v>
      </c>
      <c r="C133" s="65" t="s">
        <v>178</v>
      </c>
      <c r="D133" s="74">
        <v>1694</v>
      </c>
      <c r="E133" s="84">
        <v>0.47339999999999999</v>
      </c>
      <c r="F133" s="74">
        <v>1562</v>
      </c>
      <c r="G133" s="84">
        <v>0.50260000000000005</v>
      </c>
      <c r="H133" s="90">
        <f t="shared" si="21"/>
        <v>2.9200000000000059E-2</v>
      </c>
      <c r="I133" s="101">
        <f t="shared" si="22"/>
        <v>1.7527375607551139E-2</v>
      </c>
      <c r="J133" s="101">
        <f t="shared" si="23"/>
        <v>1.6659653249754129</v>
      </c>
      <c r="K133" s="101">
        <f t="shared" si="24"/>
        <v>9.5720321046875112E-2</v>
      </c>
      <c r="L133" s="109" t="str">
        <f t="shared" si="25"/>
        <v>No</v>
      </c>
      <c r="M133" s="115">
        <f t="shared" si="26"/>
        <v>1</v>
      </c>
      <c r="N133" s="115">
        <v>1</v>
      </c>
    </row>
    <row r="134" spans="1:14" s="53" customFormat="1" ht="77.25" hidden="1" customHeight="1" thickBot="1" x14ac:dyDescent="0.3">
      <c r="A134" s="440"/>
      <c r="B134" s="443" t="s">
        <v>170</v>
      </c>
      <c r="C134" s="68" t="s">
        <v>179</v>
      </c>
      <c r="D134" s="75">
        <v>1275</v>
      </c>
      <c r="E134" s="85">
        <v>0.55530000000000002</v>
      </c>
      <c r="F134" s="75">
        <v>1168</v>
      </c>
      <c r="G134" s="85">
        <v>0.58989999999999998</v>
      </c>
      <c r="H134" s="90">
        <f t="shared" si="21"/>
        <v>3.4599999999999964E-2</v>
      </c>
      <c r="I134" s="102">
        <f t="shared" si="22"/>
        <v>2.0020027377418509E-2</v>
      </c>
      <c r="J134" s="102">
        <f t="shared" si="23"/>
        <v>1.7282693648574559</v>
      </c>
      <c r="K134" s="102">
        <f t="shared" si="24"/>
        <v>8.3939942768692655E-2</v>
      </c>
      <c r="L134" s="109" t="str">
        <f t="shared" si="25"/>
        <v>No</v>
      </c>
      <c r="M134" s="115">
        <f t="shared" si="26"/>
        <v>1</v>
      </c>
      <c r="N134" s="115">
        <v>1</v>
      </c>
    </row>
    <row r="135" spans="1:14" s="53" customFormat="1" ht="77.25" hidden="1" customHeight="1" thickBot="1" x14ac:dyDescent="0.3">
      <c r="A135" s="438" t="s">
        <v>128</v>
      </c>
      <c r="B135" s="441" t="s">
        <v>171</v>
      </c>
      <c r="C135" s="67" t="s">
        <v>177</v>
      </c>
      <c r="D135" s="76">
        <v>2412</v>
      </c>
      <c r="E135" s="86">
        <v>0.68030000000000002</v>
      </c>
      <c r="F135" s="76">
        <v>2273</v>
      </c>
      <c r="G135" s="86">
        <v>0.71399999999999997</v>
      </c>
      <c r="H135" s="90">
        <f t="shared" si="21"/>
        <v>3.3699999999999952E-2</v>
      </c>
      <c r="I135" s="100">
        <f t="shared" si="22"/>
        <v>1.3416771393025108E-2</v>
      </c>
      <c r="J135" s="100">
        <f t="shared" si="23"/>
        <v>2.511781636043926</v>
      </c>
      <c r="K135" s="100">
        <f t="shared" si="24"/>
        <v>1.2012339226589397E-2</v>
      </c>
      <c r="L135" s="109" t="str">
        <f t="shared" si="25"/>
        <v>Yes</v>
      </c>
      <c r="M135" s="115">
        <f t="shared" si="26"/>
        <v>1</v>
      </c>
      <c r="N135" s="115">
        <v>2</v>
      </c>
    </row>
    <row r="136" spans="1:14" s="53" customFormat="1" ht="77.25" hidden="1" customHeight="1" thickBot="1" x14ac:dyDescent="0.3">
      <c r="A136" s="439"/>
      <c r="B136" s="442" t="s">
        <v>171</v>
      </c>
      <c r="C136" s="65" t="s">
        <v>178</v>
      </c>
      <c r="D136" s="77">
        <v>2412</v>
      </c>
      <c r="E136" s="87">
        <v>0.51990000000000003</v>
      </c>
      <c r="F136" s="77">
        <v>2273</v>
      </c>
      <c r="G136" s="87">
        <v>0.54379999999999995</v>
      </c>
      <c r="H136" s="90">
        <f t="shared" si="21"/>
        <v>2.3899999999999921E-2</v>
      </c>
      <c r="I136" s="101">
        <f t="shared" si="22"/>
        <v>1.4581736198368852E-2</v>
      </c>
      <c r="J136" s="101">
        <f t="shared" si="23"/>
        <v>1.6390366465876287</v>
      </c>
      <c r="K136" s="101">
        <f t="shared" si="24"/>
        <v>0.10120562778138864</v>
      </c>
      <c r="L136" s="109" t="str">
        <f t="shared" si="25"/>
        <v>No</v>
      </c>
      <c r="M136" s="115">
        <f t="shared" si="26"/>
        <v>1</v>
      </c>
      <c r="N136" s="115">
        <v>1</v>
      </c>
    </row>
    <row r="137" spans="1:14" s="53" customFormat="1" ht="77.25" hidden="1" customHeight="1" thickBot="1" x14ac:dyDescent="0.3">
      <c r="A137" s="439"/>
      <c r="B137" s="443" t="s">
        <v>171</v>
      </c>
      <c r="C137" s="68" t="s">
        <v>179</v>
      </c>
      <c r="D137" s="78">
        <v>2412</v>
      </c>
      <c r="E137" s="88">
        <v>0.6986</v>
      </c>
      <c r="F137" s="78">
        <v>2273</v>
      </c>
      <c r="G137" s="88">
        <v>0.72770000000000001</v>
      </c>
      <c r="H137" s="90">
        <f t="shared" si="21"/>
        <v>2.9100000000000015E-2</v>
      </c>
      <c r="I137" s="102">
        <f t="shared" si="22"/>
        <v>1.3208814014759325E-2</v>
      </c>
      <c r="J137" s="102">
        <f t="shared" si="23"/>
        <v>2.2030743992219231</v>
      </c>
      <c r="K137" s="102">
        <f t="shared" si="24"/>
        <v>2.7589505254736801E-2</v>
      </c>
      <c r="L137" s="109" t="str">
        <f t="shared" si="25"/>
        <v>Yes</v>
      </c>
      <c r="M137" s="115">
        <f t="shared" si="26"/>
        <v>1</v>
      </c>
      <c r="N137" s="115">
        <v>2</v>
      </c>
    </row>
    <row r="138" spans="1:14" s="60" customFormat="1" ht="77.25" hidden="1" customHeight="1" thickBot="1" x14ac:dyDescent="0.3">
      <c r="A138" s="440"/>
      <c r="B138" s="123"/>
      <c r="C138" s="124" t="s">
        <v>176</v>
      </c>
      <c r="D138" s="125"/>
      <c r="E138" s="126"/>
      <c r="F138" s="125"/>
      <c r="G138" s="126"/>
      <c r="H138" s="127"/>
      <c r="I138" s="128"/>
      <c r="J138" s="128"/>
      <c r="K138" s="128"/>
      <c r="L138" s="129"/>
      <c r="M138" s="130"/>
      <c r="N138" s="130">
        <f>SUM(N132:N137)</f>
        <v>8</v>
      </c>
    </row>
    <row r="139" spans="1:14" s="53" customFormat="1" ht="77.25" hidden="1" customHeight="1" thickBot="1" x14ac:dyDescent="0.3">
      <c r="A139" s="53" t="s">
        <v>129</v>
      </c>
      <c r="B139" s="435" t="s">
        <v>170</v>
      </c>
      <c r="C139" s="64" t="s">
        <v>177</v>
      </c>
      <c r="D139" s="73">
        <v>828</v>
      </c>
      <c r="E139" s="83">
        <v>0.5978</v>
      </c>
      <c r="F139" s="73">
        <v>1000</v>
      </c>
      <c r="G139" s="83">
        <v>0.57499999999999996</v>
      </c>
      <c r="H139" s="83">
        <f t="shared" si="21"/>
        <v>-2.2800000000000042E-2</v>
      </c>
      <c r="I139" s="122">
        <f t="shared" si="22"/>
        <v>2.312478384805626E-2</v>
      </c>
      <c r="J139" s="122">
        <f t="shared" si="23"/>
        <v>-0.98595516177836551</v>
      </c>
      <c r="K139" s="122">
        <f t="shared" si="24"/>
        <v>0.32415511618533754</v>
      </c>
      <c r="L139" s="108" t="str">
        <f t="shared" si="25"/>
        <v>No</v>
      </c>
      <c r="M139" s="114">
        <f t="shared" si="26"/>
        <v>0</v>
      </c>
      <c r="N139" s="114">
        <v>1</v>
      </c>
    </row>
    <row r="140" spans="1:14" s="53" customFormat="1" ht="77.25" hidden="1" customHeight="1" thickBot="1" x14ac:dyDescent="0.3">
      <c r="A140" s="53" t="s">
        <v>129</v>
      </c>
      <c r="B140" s="429" t="s">
        <v>170</v>
      </c>
      <c r="C140" s="65" t="s">
        <v>178</v>
      </c>
      <c r="D140" s="74">
        <v>968</v>
      </c>
      <c r="E140" s="84">
        <v>0.64980000000000004</v>
      </c>
      <c r="F140" s="74">
        <v>1118</v>
      </c>
      <c r="G140" s="84">
        <v>0.59930000000000005</v>
      </c>
      <c r="H140" s="90">
        <f t="shared" si="21"/>
        <v>-5.0499999999999989E-2</v>
      </c>
      <c r="I140" s="101">
        <f t="shared" si="22"/>
        <v>2.1210290910666157E-2</v>
      </c>
      <c r="J140" s="101">
        <f t="shared" si="23"/>
        <v>-2.3809197248965939</v>
      </c>
      <c r="K140" s="101">
        <f t="shared" si="24"/>
        <v>1.7269474827164455E-2</v>
      </c>
      <c r="L140" s="109" t="str">
        <f t="shared" si="25"/>
        <v>Yes</v>
      </c>
      <c r="M140" s="115">
        <f t="shared" si="26"/>
        <v>0</v>
      </c>
      <c r="N140" s="115">
        <v>0</v>
      </c>
    </row>
    <row r="141" spans="1:14" s="53" customFormat="1" ht="77.25" hidden="1" customHeight="1" thickBot="1" x14ac:dyDescent="0.3">
      <c r="A141" s="53" t="s">
        <v>129</v>
      </c>
      <c r="B141" s="430" t="s">
        <v>170</v>
      </c>
      <c r="C141" s="68" t="s">
        <v>179</v>
      </c>
      <c r="D141" s="75">
        <v>890</v>
      </c>
      <c r="E141" s="85">
        <v>0.66849999999999998</v>
      </c>
      <c r="F141" s="75">
        <v>1079</v>
      </c>
      <c r="G141" s="85">
        <v>0.65149999999999997</v>
      </c>
      <c r="H141" s="90">
        <f t="shared" si="21"/>
        <v>-1.7000000000000015E-2</v>
      </c>
      <c r="I141" s="102">
        <f t="shared" si="22"/>
        <v>2.1434124831988439E-2</v>
      </c>
      <c r="J141" s="102">
        <f t="shared" si="23"/>
        <v>-0.79312778726701705</v>
      </c>
      <c r="K141" s="102">
        <f t="shared" si="24"/>
        <v>0.42770337481932885</v>
      </c>
      <c r="L141" s="109" t="str">
        <f t="shared" si="25"/>
        <v>No</v>
      </c>
      <c r="M141" s="115">
        <f t="shared" si="26"/>
        <v>0</v>
      </c>
      <c r="N141" s="115">
        <v>1</v>
      </c>
    </row>
    <row r="142" spans="1:14" s="53" customFormat="1" ht="77.25" hidden="1" customHeight="1" thickBot="1" x14ac:dyDescent="0.3">
      <c r="A142" s="53" t="s">
        <v>129</v>
      </c>
      <c r="B142" s="428" t="s">
        <v>171</v>
      </c>
      <c r="C142" s="67" t="s">
        <v>177</v>
      </c>
      <c r="D142" s="76">
        <v>1136</v>
      </c>
      <c r="E142" s="86">
        <v>0.55279999999999996</v>
      </c>
      <c r="F142" s="76">
        <v>1351</v>
      </c>
      <c r="G142" s="86">
        <v>0.53149999999999997</v>
      </c>
      <c r="H142" s="90">
        <f t="shared" si="21"/>
        <v>-2.1299999999999986E-2</v>
      </c>
      <c r="I142" s="100">
        <f t="shared" si="22"/>
        <v>2.0048191803224355E-2</v>
      </c>
      <c r="J142" s="100">
        <f t="shared" si="23"/>
        <v>-1.0624399551372161</v>
      </c>
      <c r="K142" s="100">
        <f t="shared" si="24"/>
        <v>0.28803600326000822</v>
      </c>
      <c r="L142" s="109" t="str">
        <f t="shared" si="25"/>
        <v>No</v>
      </c>
      <c r="M142" s="115">
        <f t="shared" si="26"/>
        <v>0</v>
      </c>
      <c r="N142" s="115">
        <v>1</v>
      </c>
    </row>
    <row r="143" spans="1:14" s="53" customFormat="1" ht="77.25" hidden="1" customHeight="1" thickBot="1" x14ac:dyDescent="0.3">
      <c r="A143" s="53" t="s">
        <v>129</v>
      </c>
      <c r="B143" s="429" t="s">
        <v>171</v>
      </c>
      <c r="C143" s="65" t="s">
        <v>178</v>
      </c>
      <c r="D143" s="77">
        <v>1136</v>
      </c>
      <c r="E143" s="87">
        <v>0.49380000000000002</v>
      </c>
      <c r="F143" s="77">
        <v>1351</v>
      </c>
      <c r="G143" s="87">
        <v>0.48849999999999999</v>
      </c>
      <c r="H143" s="90">
        <f t="shared" si="21"/>
        <v>-5.3000000000000269E-3</v>
      </c>
      <c r="I143" s="101">
        <f t="shared" si="22"/>
        <v>2.0124284001294984E-2</v>
      </c>
      <c r="J143" s="101">
        <f t="shared" si="23"/>
        <v>-0.26336340709855693</v>
      </c>
      <c r="K143" s="101">
        <f t="shared" si="24"/>
        <v>0.79227049218270507</v>
      </c>
      <c r="L143" s="109" t="str">
        <f t="shared" si="25"/>
        <v>No</v>
      </c>
      <c r="M143" s="115">
        <f t="shared" si="26"/>
        <v>0</v>
      </c>
      <c r="N143" s="115">
        <v>1</v>
      </c>
    </row>
    <row r="144" spans="1:14" s="53" customFormat="1" ht="77.25" hidden="1" customHeight="1" thickBot="1" x14ac:dyDescent="0.3">
      <c r="A144" s="53" t="s">
        <v>129</v>
      </c>
      <c r="B144" s="430" t="s">
        <v>171</v>
      </c>
      <c r="C144" s="68" t="s">
        <v>179</v>
      </c>
      <c r="D144" s="78">
        <v>1136</v>
      </c>
      <c r="E144" s="88">
        <v>0.57389999999999997</v>
      </c>
      <c r="F144" s="78">
        <v>1351</v>
      </c>
      <c r="G144" s="88">
        <v>0.5625</v>
      </c>
      <c r="H144" s="90">
        <f t="shared" si="21"/>
        <v>-1.1399999999999966E-2</v>
      </c>
      <c r="I144" s="102">
        <f t="shared" si="22"/>
        <v>1.9935389515068236E-2</v>
      </c>
      <c r="J144" s="102">
        <f t="shared" si="23"/>
        <v>-0.57184736678374082</v>
      </c>
      <c r="K144" s="102">
        <f t="shared" si="24"/>
        <v>0.56742538427995237</v>
      </c>
      <c r="L144" s="109" t="str">
        <f t="shared" si="25"/>
        <v>No</v>
      </c>
      <c r="M144" s="115">
        <f t="shared" si="26"/>
        <v>0</v>
      </c>
      <c r="N144" s="115">
        <v>1</v>
      </c>
    </row>
    <row r="145" spans="1:14" s="60" customFormat="1" ht="77.25" hidden="1" customHeight="1" thickBot="1" x14ac:dyDescent="0.3">
      <c r="B145" s="62"/>
      <c r="C145" s="69" t="s">
        <v>176</v>
      </c>
      <c r="D145" s="79"/>
      <c r="E145" s="89"/>
      <c r="F145" s="79"/>
      <c r="G145" s="89"/>
      <c r="H145" s="93"/>
      <c r="I145" s="103"/>
      <c r="J145" s="103"/>
      <c r="K145" s="103"/>
      <c r="L145" s="110"/>
      <c r="M145" s="116"/>
      <c r="N145" s="116">
        <f>SUM(N139:N144)</f>
        <v>5</v>
      </c>
    </row>
    <row r="146" spans="1:14" s="53" customFormat="1" ht="77.25" hidden="1" customHeight="1" thickBot="1" x14ac:dyDescent="0.3">
      <c r="A146" s="53" t="s">
        <v>130</v>
      </c>
      <c r="B146" s="428" t="s">
        <v>170</v>
      </c>
      <c r="C146" s="67" t="s">
        <v>177</v>
      </c>
      <c r="D146" s="80">
        <v>5577</v>
      </c>
      <c r="E146" s="90">
        <v>0.7036</v>
      </c>
      <c r="F146" s="80">
        <v>6289</v>
      </c>
      <c r="G146" s="90">
        <v>0.70550000000000002</v>
      </c>
      <c r="H146" s="90">
        <f t="shared" si="21"/>
        <v>1.9000000000000128E-3</v>
      </c>
      <c r="I146" s="100">
        <f t="shared" si="22"/>
        <v>8.3923259551551017E-3</v>
      </c>
      <c r="J146" s="100">
        <f t="shared" si="23"/>
        <v>0.22639730751078749</v>
      </c>
      <c r="K146" s="100">
        <f t="shared" si="24"/>
        <v>0.82089242186803268</v>
      </c>
      <c r="L146" s="109" t="str">
        <f t="shared" si="25"/>
        <v>No</v>
      </c>
      <c r="M146" s="115">
        <f t="shared" si="26"/>
        <v>1</v>
      </c>
      <c r="N146" s="115">
        <v>1</v>
      </c>
    </row>
    <row r="147" spans="1:14" s="53" customFormat="1" ht="77.25" hidden="1" customHeight="1" thickBot="1" x14ac:dyDescent="0.3">
      <c r="A147" s="53" t="s">
        <v>130</v>
      </c>
      <c r="B147" s="429" t="s">
        <v>170</v>
      </c>
      <c r="C147" s="65" t="s">
        <v>178</v>
      </c>
      <c r="D147" s="74">
        <v>7882</v>
      </c>
      <c r="E147" s="84">
        <v>0.7974</v>
      </c>
      <c r="F147" s="74">
        <v>8917</v>
      </c>
      <c r="G147" s="84">
        <v>0.80169999999999997</v>
      </c>
      <c r="H147" s="90">
        <f t="shared" si="21"/>
        <v>4.2999999999999705E-3</v>
      </c>
      <c r="I147" s="101">
        <f t="shared" si="22"/>
        <v>6.1907204881040574E-3</v>
      </c>
      <c r="J147" s="101">
        <f t="shared" si="23"/>
        <v>0.69458797376860237</v>
      </c>
      <c r="K147" s="101">
        <f t="shared" si="24"/>
        <v>0.48731355109724817</v>
      </c>
      <c r="L147" s="109" t="str">
        <f t="shared" si="25"/>
        <v>No</v>
      </c>
      <c r="M147" s="115">
        <f t="shared" si="26"/>
        <v>1</v>
      </c>
      <c r="N147" s="115">
        <v>1</v>
      </c>
    </row>
    <row r="148" spans="1:14" s="53" customFormat="1" ht="77.25" hidden="1" customHeight="1" thickBot="1" x14ac:dyDescent="0.3">
      <c r="A148" s="53" t="s">
        <v>130</v>
      </c>
      <c r="B148" s="430" t="s">
        <v>170</v>
      </c>
      <c r="C148" s="68" t="s">
        <v>179</v>
      </c>
      <c r="D148" s="75">
        <v>7152</v>
      </c>
      <c r="E148" s="85">
        <v>0.77890000000000004</v>
      </c>
      <c r="F148" s="75">
        <v>8005</v>
      </c>
      <c r="G148" s="85">
        <v>0.77600000000000002</v>
      </c>
      <c r="H148" s="90">
        <f t="shared" si="21"/>
        <v>-2.9000000000000137E-3</v>
      </c>
      <c r="I148" s="102">
        <f t="shared" si="22"/>
        <v>6.7671026032765638E-3</v>
      </c>
      <c r="J148" s="102">
        <f t="shared" si="23"/>
        <v>-0.42854382000885616</v>
      </c>
      <c r="K148" s="102">
        <f t="shared" si="24"/>
        <v>0.66825523745364279</v>
      </c>
      <c r="L148" s="109" t="str">
        <f t="shared" si="25"/>
        <v>No</v>
      </c>
      <c r="M148" s="115">
        <f t="shared" si="26"/>
        <v>0</v>
      </c>
      <c r="N148" s="115">
        <v>1</v>
      </c>
    </row>
    <row r="149" spans="1:14" s="53" customFormat="1" ht="77.25" hidden="1" customHeight="1" thickBot="1" x14ac:dyDescent="0.3">
      <c r="A149" s="53" t="s">
        <v>130</v>
      </c>
      <c r="B149" s="428" t="s">
        <v>171</v>
      </c>
      <c r="C149" s="67" t="s">
        <v>177</v>
      </c>
      <c r="D149" s="76">
        <v>8468</v>
      </c>
      <c r="E149" s="86">
        <v>0.64419999999999999</v>
      </c>
      <c r="F149" s="76">
        <v>9543</v>
      </c>
      <c r="G149" s="86">
        <v>0.64580000000000004</v>
      </c>
      <c r="H149" s="90">
        <f t="shared" si="21"/>
        <v>1.6000000000000458E-3</v>
      </c>
      <c r="I149" s="100">
        <f t="shared" si="22"/>
        <v>7.144018736302056E-3</v>
      </c>
      <c r="J149" s="100">
        <f t="shared" si="23"/>
        <v>0.22396357835257449</v>
      </c>
      <c r="K149" s="100">
        <f t="shared" si="24"/>
        <v>0.8227856436250065</v>
      </c>
      <c r="L149" s="109" t="str">
        <f t="shared" si="25"/>
        <v>No</v>
      </c>
      <c r="M149" s="115">
        <f t="shared" si="26"/>
        <v>1</v>
      </c>
      <c r="N149" s="115">
        <v>1</v>
      </c>
    </row>
    <row r="150" spans="1:14" s="53" customFormat="1" ht="77.25" hidden="1" customHeight="1" thickBot="1" x14ac:dyDescent="0.3">
      <c r="A150" s="53" t="s">
        <v>130</v>
      </c>
      <c r="B150" s="429" t="s">
        <v>171</v>
      </c>
      <c r="C150" s="65" t="s">
        <v>178</v>
      </c>
      <c r="D150" s="77">
        <v>8464</v>
      </c>
      <c r="E150" s="87">
        <v>0.51629999999999998</v>
      </c>
      <c r="F150" s="77">
        <v>9540</v>
      </c>
      <c r="G150" s="87">
        <v>0.52900000000000003</v>
      </c>
      <c r="H150" s="90">
        <f t="shared" si="21"/>
        <v>1.2700000000000045E-2</v>
      </c>
      <c r="I150" s="101">
        <f t="shared" si="22"/>
        <v>7.4580672433145739E-3</v>
      </c>
      <c r="J150" s="101">
        <f t="shared" si="23"/>
        <v>1.702854048598764</v>
      </c>
      <c r="K150" s="101">
        <f t="shared" si="24"/>
        <v>8.8595385209950361E-2</v>
      </c>
      <c r="L150" s="109" t="str">
        <f t="shared" si="25"/>
        <v>No</v>
      </c>
      <c r="M150" s="115">
        <f t="shared" si="26"/>
        <v>1</v>
      </c>
      <c r="N150" s="115">
        <v>1</v>
      </c>
    </row>
    <row r="151" spans="1:14" s="53" customFormat="1" ht="77.25" hidden="1" customHeight="1" thickBot="1" x14ac:dyDescent="0.3">
      <c r="A151" s="53" t="s">
        <v>130</v>
      </c>
      <c r="B151" s="430" t="s">
        <v>171</v>
      </c>
      <c r="C151" s="68" t="s">
        <v>179</v>
      </c>
      <c r="D151" s="78">
        <v>8465</v>
      </c>
      <c r="E151" s="88">
        <v>0.57940000000000003</v>
      </c>
      <c r="F151" s="78">
        <v>9537</v>
      </c>
      <c r="G151" s="88">
        <v>0.5827</v>
      </c>
      <c r="H151" s="90">
        <f t="shared" si="21"/>
        <v>3.2999999999999696E-3</v>
      </c>
      <c r="I151" s="102">
        <f t="shared" si="22"/>
        <v>7.3678476143791641E-3</v>
      </c>
      <c r="J151" s="102">
        <f t="shared" si="23"/>
        <v>0.44789199949788011</v>
      </c>
      <c r="K151" s="102">
        <f t="shared" si="24"/>
        <v>0.65423114264078075</v>
      </c>
      <c r="L151" s="109" t="str">
        <f t="shared" si="25"/>
        <v>No</v>
      </c>
      <c r="M151" s="115">
        <f t="shared" si="26"/>
        <v>1</v>
      </c>
      <c r="N151" s="115">
        <v>1</v>
      </c>
    </row>
    <row r="152" spans="1:14" s="60" customFormat="1" ht="77.25" hidden="1" customHeight="1" thickBot="1" x14ac:dyDescent="0.3">
      <c r="B152" s="62"/>
      <c r="C152" s="69" t="s">
        <v>176</v>
      </c>
      <c r="D152" s="79"/>
      <c r="E152" s="89"/>
      <c r="F152" s="79"/>
      <c r="G152" s="89"/>
      <c r="H152" s="93"/>
      <c r="I152" s="103"/>
      <c r="J152" s="103"/>
      <c r="K152" s="103"/>
      <c r="L152" s="110"/>
      <c r="M152" s="116"/>
      <c r="N152" s="116">
        <f>SUM(N146:N151)</f>
        <v>6</v>
      </c>
    </row>
    <row r="153" spans="1:14" s="53" customFormat="1" ht="77.25" hidden="1" customHeight="1" thickBot="1" x14ac:dyDescent="0.3">
      <c r="A153" s="53" t="s">
        <v>131</v>
      </c>
      <c r="B153" s="428" t="s">
        <v>170</v>
      </c>
      <c r="C153" s="67" t="s">
        <v>177</v>
      </c>
      <c r="D153" s="80">
        <v>5096</v>
      </c>
      <c r="E153" s="90">
        <v>0.52139999999999997</v>
      </c>
      <c r="F153" s="80">
        <v>4621</v>
      </c>
      <c r="G153" s="90">
        <v>0.53910000000000002</v>
      </c>
      <c r="H153" s="90">
        <f t="shared" si="21"/>
        <v>1.7700000000000049E-2</v>
      </c>
      <c r="I153" s="100">
        <f t="shared" si="22"/>
        <v>1.0135986510371281E-2</v>
      </c>
      <c r="J153" s="100">
        <f t="shared" si="23"/>
        <v>1.7462533106066356</v>
      </c>
      <c r="K153" s="100">
        <f t="shared" si="24"/>
        <v>8.0766944961800702E-2</v>
      </c>
      <c r="L153" s="109" t="str">
        <f t="shared" si="25"/>
        <v>No</v>
      </c>
      <c r="M153" s="115">
        <f t="shared" si="26"/>
        <v>1</v>
      </c>
      <c r="N153" s="115">
        <v>1</v>
      </c>
    </row>
    <row r="154" spans="1:14" s="53" customFormat="1" ht="77.25" hidden="1" customHeight="1" thickBot="1" x14ac:dyDescent="0.3">
      <c r="A154" s="53" t="s">
        <v>131</v>
      </c>
      <c r="B154" s="429" t="s">
        <v>170</v>
      </c>
      <c r="C154" s="65" t="s">
        <v>178</v>
      </c>
      <c r="D154" s="74">
        <v>2819</v>
      </c>
      <c r="E154" s="84">
        <v>0.55230000000000001</v>
      </c>
      <c r="F154" s="74">
        <v>2556</v>
      </c>
      <c r="G154" s="84">
        <v>0.51639999999999997</v>
      </c>
      <c r="H154" s="90">
        <f t="shared" si="21"/>
        <v>-3.5900000000000043E-2</v>
      </c>
      <c r="I154" s="101">
        <f t="shared" si="22"/>
        <v>1.3616808552826756E-2</v>
      </c>
      <c r="J154" s="101">
        <f t="shared" si="23"/>
        <v>-2.6364474363229151</v>
      </c>
      <c r="K154" s="101">
        <f t="shared" si="24"/>
        <v>8.3779179057026365E-3</v>
      </c>
      <c r="L154" s="109" t="str">
        <f t="shared" si="25"/>
        <v>Yes</v>
      </c>
      <c r="M154" s="115">
        <f t="shared" si="26"/>
        <v>0</v>
      </c>
      <c r="N154" s="115">
        <v>0</v>
      </c>
    </row>
    <row r="155" spans="1:14" s="53" customFormat="1" ht="77.25" hidden="1" customHeight="1" thickBot="1" x14ac:dyDescent="0.3">
      <c r="A155" s="53" t="s">
        <v>131</v>
      </c>
      <c r="B155" s="430" t="s">
        <v>170</v>
      </c>
      <c r="C155" s="68" t="s">
        <v>179</v>
      </c>
      <c r="D155" s="75">
        <v>3695</v>
      </c>
      <c r="E155" s="85">
        <v>0.50390000000000001</v>
      </c>
      <c r="F155" s="75">
        <v>3417</v>
      </c>
      <c r="G155" s="85">
        <v>0.50249999999999995</v>
      </c>
      <c r="H155" s="90">
        <f t="shared" si="21"/>
        <v>-1.4000000000000679E-3</v>
      </c>
      <c r="I155" s="102">
        <f t="shared" si="22"/>
        <v>1.1866619020564564E-2</v>
      </c>
      <c r="J155" s="102">
        <f t="shared" si="23"/>
        <v>-0.11797800178584159</v>
      </c>
      <c r="K155" s="102">
        <f t="shared" si="24"/>
        <v>0.90608508816849165</v>
      </c>
      <c r="L155" s="109" t="str">
        <f t="shared" si="25"/>
        <v>No</v>
      </c>
      <c r="M155" s="115">
        <f t="shared" si="26"/>
        <v>0</v>
      </c>
      <c r="N155" s="115">
        <v>1</v>
      </c>
    </row>
    <row r="156" spans="1:14" s="53" customFormat="1" ht="77.25" hidden="1" customHeight="1" thickBot="1" x14ac:dyDescent="0.3">
      <c r="A156" s="53" t="s">
        <v>131</v>
      </c>
      <c r="B156" s="428" t="s">
        <v>171</v>
      </c>
      <c r="C156" s="67" t="s">
        <v>177</v>
      </c>
      <c r="D156" s="76">
        <v>6474</v>
      </c>
      <c r="E156" s="86">
        <v>0.53990000000000005</v>
      </c>
      <c r="F156" s="76">
        <v>5946</v>
      </c>
      <c r="G156" s="86">
        <v>0.56420000000000003</v>
      </c>
      <c r="H156" s="90">
        <f t="shared" si="21"/>
        <v>2.4299999999999988E-2</v>
      </c>
      <c r="I156" s="100">
        <f t="shared" si="22"/>
        <v>8.9287170373521865E-3</v>
      </c>
      <c r="J156" s="100">
        <f t="shared" si="23"/>
        <v>2.7215556163717514</v>
      </c>
      <c r="K156" s="100">
        <f t="shared" si="24"/>
        <v>6.4975450700164306E-3</v>
      </c>
      <c r="L156" s="109" t="str">
        <f t="shared" si="25"/>
        <v>Yes</v>
      </c>
      <c r="M156" s="115">
        <f t="shared" si="26"/>
        <v>1</v>
      </c>
      <c r="N156" s="115">
        <v>2</v>
      </c>
    </row>
    <row r="157" spans="1:14" s="53" customFormat="1" ht="77.25" hidden="1" customHeight="1" thickBot="1" x14ac:dyDescent="0.3">
      <c r="A157" s="53" t="s">
        <v>131</v>
      </c>
      <c r="B157" s="429" t="s">
        <v>171</v>
      </c>
      <c r="C157" s="65" t="s">
        <v>178</v>
      </c>
      <c r="D157" s="77">
        <v>6474</v>
      </c>
      <c r="E157" s="87">
        <v>0.72030000000000005</v>
      </c>
      <c r="F157" s="77">
        <v>5946</v>
      </c>
      <c r="G157" s="87">
        <v>0.71909999999999996</v>
      </c>
      <c r="H157" s="90">
        <f t="shared" si="21"/>
        <v>-1.2000000000000899E-3</v>
      </c>
      <c r="I157" s="101">
        <f t="shared" si="22"/>
        <v>8.0679086960165174E-3</v>
      </c>
      <c r="J157" s="101">
        <f t="shared" si="23"/>
        <v>-0.14873742939016935</v>
      </c>
      <c r="K157" s="101">
        <f t="shared" si="24"/>
        <v>0.88176082534457412</v>
      </c>
      <c r="L157" s="109" t="str">
        <f t="shared" si="25"/>
        <v>No</v>
      </c>
      <c r="M157" s="115">
        <f t="shared" si="26"/>
        <v>0</v>
      </c>
      <c r="N157" s="115">
        <v>1</v>
      </c>
    </row>
    <row r="158" spans="1:14" s="53" customFormat="1" ht="77.25" hidden="1" customHeight="1" thickBot="1" x14ac:dyDescent="0.3">
      <c r="A158" s="53" t="s">
        <v>131</v>
      </c>
      <c r="B158" s="430" t="s">
        <v>171</v>
      </c>
      <c r="C158" s="68" t="s">
        <v>179</v>
      </c>
      <c r="D158" s="78">
        <v>6474</v>
      </c>
      <c r="E158" s="88">
        <v>0.66080000000000005</v>
      </c>
      <c r="F158" s="78">
        <v>5946</v>
      </c>
      <c r="G158" s="88">
        <v>0.66549999999999998</v>
      </c>
      <c r="H158" s="90">
        <f t="shared" si="21"/>
        <v>4.6999999999999265E-3</v>
      </c>
      <c r="I158" s="102">
        <f t="shared" si="22"/>
        <v>8.4888547121621388E-3</v>
      </c>
      <c r="J158" s="102">
        <f t="shared" si="23"/>
        <v>0.55366715055991589</v>
      </c>
      <c r="K158" s="102">
        <f t="shared" si="24"/>
        <v>0.57980666054993324</v>
      </c>
      <c r="L158" s="109" t="str">
        <f t="shared" si="25"/>
        <v>No</v>
      </c>
      <c r="M158" s="115">
        <f t="shared" si="26"/>
        <v>1</v>
      </c>
      <c r="N158" s="115">
        <v>1</v>
      </c>
    </row>
    <row r="159" spans="1:14" s="60" customFormat="1" ht="77.25" hidden="1" customHeight="1" thickBot="1" x14ac:dyDescent="0.3">
      <c r="B159" s="62"/>
      <c r="C159" s="69" t="s">
        <v>176</v>
      </c>
      <c r="D159" s="79"/>
      <c r="E159" s="89"/>
      <c r="F159" s="79"/>
      <c r="G159" s="89"/>
      <c r="H159" s="93"/>
      <c r="I159" s="103"/>
      <c r="J159" s="103"/>
      <c r="K159" s="103"/>
      <c r="L159" s="110"/>
      <c r="M159" s="116"/>
      <c r="N159" s="116">
        <f>SUM(N153:N158)</f>
        <v>6</v>
      </c>
    </row>
    <row r="160" spans="1:14" s="53" customFormat="1" ht="77.25" hidden="1" customHeight="1" thickBot="1" x14ac:dyDescent="0.3">
      <c r="A160" s="53" t="s">
        <v>132</v>
      </c>
      <c r="B160" s="428" t="s">
        <v>170</v>
      </c>
      <c r="C160" s="67" t="s">
        <v>177</v>
      </c>
      <c r="D160" s="80">
        <v>2116</v>
      </c>
      <c r="E160" s="90">
        <v>0.68620000000000003</v>
      </c>
      <c r="F160" s="80">
        <v>2149</v>
      </c>
      <c r="G160" s="90">
        <v>0.69469999999999998</v>
      </c>
      <c r="H160" s="90">
        <f t="shared" si="21"/>
        <v>8.499999999999952E-3</v>
      </c>
      <c r="I160" s="100">
        <f t="shared" si="22"/>
        <v>1.415824338846944E-2</v>
      </c>
      <c r="J160" s="100">
        <f t="shared" si="23"/>
        <v>0.60035696285051887</v>
      </c>
      <c r="K160" s="100">
        <f t="shared" si="24"/>
        <v>0.54826836337133988</v>
      </c>
      <c r="L160" s="109" t="str">
        <f t="shared" si="25"/>
        <v>No</v>
      </c>
      <c r="M160" s="115">
        <f t="shared" si="26"/>
        <v>1</v>
      </c>
      <c r="N160" s="115">
        <v>1</v>
      </c>
    </row>
    <row r="161" spans="1:14" s="53" customFormat="1" ht="77.25" hidden="1" customHeight="1" thickBot="1" x14ac:dyDescent="0.3">
      <c r="A161" s="53" t="s">
        <v>132</v>
      </c>
      <c r="B161" s="429" t="s">
        <v>170</v>
      </c>
      <c r="C161" s="65" t="s">
        <v>178</v>
      </c>
      <c r="D161" s="74">
        <v>2437</v>
      </c>
      <c r="E161" s="84">
        <v>0.70660000000000001</v>
      </c>
      <c r="F161" s="74">
        <v>2328</v>
      </c>
      <c r="G161" s="84">
        <v>0.72209999999999996</v>
      </c>
      <c r="H161" s="90">
        <f t="shared" si="21"/>
        <v>1.5499999999999958E-2</v>
      </c>
      <c r="I161" s="101">
        <f t="shared" si="22"/>
        <v>1.3086996805510171E-2</v>
      </c>
      <c r="J161" s="101">
        <f t="shared" si="23"/>
        <v>1.1843817363410536</v>
      </c>
      <c r="K161" s="101">
        <f t="shared" si="24"/>
        <v>0.23626198654843855</v>
      </c>
      <c r="L161" s="109" t="str">
        <f t="shared" si="25"/>
        <v>No</v>
      </c>
      <c r="M161" s="115">
        <f t="shared" si="26"/>
        <v>1</v>
      </c>
      <c r="N161" s="115">
        <v>1</v>
      </c>
    </row>
    <row r="162" spans="1:14" s="53" customFormat="1" ht="77.25" hidden="1" customHeight="1" thickBot="1" x14ac:dyDescent="0.3">
      <c r="A162" s="53" t="s">
        <v>132</v>
      </c>
      <c r="B162" s="430" t="s">
        <v>170</v>
      </c>
      <c r="C162" s="68" t="s">
        <v>179</v>
      </c>
      <c r="D162" s="75">
        <v>2078</v>
      </c>
      <c r="E162" s="85">
        <v>0.74539999999999995</v>
      </c>
      <c r="F162" s="75">
        <v>2049</v>
      </c>
      <c r="G162" s="85">
        <v>0.75649999999999995</v>
      </c>
      <c r="H162" s="90">
        <f t="shared" si="21"/>
        <v>1.1099999999999999E-2</v>
      </c>
      <c r="I162" s="102">
        <f t="shared" si="22"/>
        <v>1.3462129670941295E-2</v>
      </c>
      <c r="J162" s="102">
        <f t="shared" si="23"/>
        <v>0.82453521629344606</v>
      </c>
      <c r="K162" s="102">
        <f t="shared" si="24"/>
        <v>0.40963551437991241</v>
      </c>
      <c r="L162" s="109" t="str">
        <f t="shared" si="25"/>
        <v>No</v>
      </c>
      <c r="M162" s="115">
        <f t="shared" si="26"/>
        <v>1</v>
      </c>
      <c r="N162" s="115">
        <v>1</v>
      </c>
    </row>
    <row r="163" spans="1:14" s="53" customFormat="1" ht="77.25" hidden="1" customHeight="1" thickBot="1" x14ac:dyDescent="0.3">
      <c r="A163" s="53" t="s">
        <v>132</v>
      </c>
      <c r="B163" s="428" t="s">
        <v>171</v>
      </c>
      <c r="C163" s="67" t="s">
        <v>177</v>
      </c>
      <c r="D163" s="76">
        <v>2834</v>
      </c>
      <c r="E163" s="86">
        <v>0.55289999999999995</v>
      </c>
      <c r="F163" s="76">
        <v>2728</v>
      </c>
      <c r="G163" s="86">
        <v>0.51359999999999995</v>
      </c>
      <c r="H163" s="90">
        <f t="shared" si="21"/>
        <v>-3.9300000000000002E-2</v>
      </c>
      <c r="I163" s="100">
        <f t="shared" si="22"/>
        <v>1.3371668711492583E-2</v>
      </c>
      <c r="J163" s="100">
        <f t="shared" si="23"/>
        <v>-2.9390497811408332</v>
      </c>
      <c r="K163" s="100">
        <f t="shared" si="24"/>
        <v>3.292201911078374E-3</v>
      </c>
      <c r="L163" s="109" t="str">
        <f t="shared" si="25"/>
        <v>Yes</v>
      </c>
      <c r="M163" s="115">
        <f t="shared" si="26"/>
        <v>0</v>
      </c>
      <c r="N163" s="115">
        <v>0</v>
      </c>
    </row>
    <row r="164" spans="1:14" s="53" customFormat="1" ht="77.25" hidden="1" customHeight="1" thickBot="1" x14ac:dyDescent="0.3">
      <c r="A164" s="53" t="s">
        <v>132</v>
      </c>
      <c r="B164" s="429" t="s">
        <v>171</v>
      </c>
      <c r="C164" s="65" t="s">
        <v>178</v>
      </c>
      <c r="D164" s="77">
        <v>2834</v>
      </c>
      <c r="E164" s="87">
        <v>0.50349999999999995</v>
      </c>
      <c r="F164" s="77">
        <v>2728</v>
      </c>
      <c r="G164" s="87">
        <v>0.50180000000000002</v>
      </c>
      <c r="H164" s="90">
        <f t="shared" si="21"/>
        <v>-1.6999999999999238E-3</v>
      </c>
      <c r="I164" s="101">
        <f t="shared" si="22"/>
        <v>1.3410863368895777E-2</v>
      </c>
      <c r="J164" s="101">
        <f t="shared" si="23"/>
        <v>-0.12676290505969851</v>
      </c>
      <c r="K164" s="101">
        <f t="shared" si="24"/>
        <v>0.89912805630373871</v>
      </c>
      <c r="L164" s="109" t="str">
        <f t="shared" si="25"/>
        <v>No</v>
      </c>
      <c r="M164" s="115">
        <f t="shared" si="26"/>
        <v>0</v>
      </c>
      <c r="N164" s="115">
        <v>1</v>
      </c>
    </row>
    <row r="165" spans="1:14" s="53" customFormat="1" ht="77.25" hidden="1" customHeight="1" thickBot="1" x14ac:dyDescent="0.3">
      <c r="A165" s="53" t="s">
        <v>132</v>
      </c>
      <c r="B165" s="430" t="s">
        <v>171</v>
      </c>
      <c r="C165" s="68" t="s">
        <v>179</v>
      </c>
      <c r="D165" s="78">
        <v>2834</v>
      </c>
      <c r="E165" s="88">
        <v>0.64290000000000003</v>
      </c>
      <c r="F165" s="78">
        <v>2728</v>
      </c>
      <c r="G165" s="88">
        <v>0.61909999999999998</v>
      </c>
      <c r="H165" s="90">
        <f t="shared" si="21"/>
        <v>-2.3800000000000043E-2</v>
      </c>
      <c r="I165" s="102">
        <f t="shared" si="22"/>
        <v>1.294030710487701E-2</v>
      </c>
      <c r="J165" s="102">
        <f t="shared" si="23"/>
        <v>-1.8392144643174795</v>
      </c>
      <c r="K165" s="102">
        <f t="shared" si="24"/>
        <v>6.5883648034112952E-2</v>
      </c>
      <c r="L165" s="109" t="str">
        <f t="shared" si="25"/>
        <v>No</v>
      </c>
      <c r="M165" s="115">
        <f t="shared" si="26"/>
        <v>0</v>
      </c>
      <c r="N165" s="115">
        <v>1</v>
      </c>
    </row>
    <row r="166" spans="1:14" s="60" customFormat="1" ht="77.25" hidden="1" customHeight="1" thickBot="1" x14ac:dyDescent="0.3">
      <c r="B166" s="62"/>
      <c r="C166" s="69" t="s">
        <v>176</v>
      </c>
      <c r="D166" s="79"/>
      <c r="E166" s="89"/>
      <c r="F166" s="79"/>
      <c r="G166" s="89"/>
      <c r="H166" s="93"/>
      <c r="I166" s="103"/>
      <c r="J166" s="103"/>
      <c r="K166" s="103"/>
      <c r="L166" s="110"/>
      <c r="M166" s="116"/>
      <c r="N166" s="116">
        <f>SUM(N160:N165)</f>
        <v>5</v>
      </c>
    </row>
    <row r="167" spans="1:14" s="53" customFormat="1" ht="77.25" hidden="1" customHeight="1" thickBot="1" x14ac:dyDescent="0.3">
      <c r="A167" s="53" t="s">
        <v>133</v>
      </c>
      <c r="B167" s="428" t="s">
        <v>170</v>
      </c>
      <c r="C167" s="67" t="s">
        <v>177</v>
      </c>
      <c r="D167" s="80">
        <v>1348</v>
      </c>
      <c r="E167" s="90">
        <v>0.89990000000000003</v>
      </c>
      <c r="F167" s="80">
        <v>1915</v>
      </c>
      <c r="G167" s="90">
        <v>0.86370000000000002</v>
      </c>
      <c r="H167" s="90">
        <f t="shared" si="21"/>
        <v>-3.620000000000001E-2</v>
      </c>
      <c r="I167" s="100">
        <f t="shared" si="22"/>
        <v>1.1326902026606458E-2</v>
      </c>
      <c r="J167" s="100">
        <f t="shared" si="23"/>
        <v>-3.1959312365347206</v>
      </c>
      <c r="K167" s="100">
        <f t="shared" si="24"/>
        <v>1.3938032518530097E-3</v>
      </c>
      <c r="L167" s="109" t="str">
        <f t="shared" si="25"/>
        <v>Yes</v>
      </c>
      <c r="M167" s="115">
        <f t="shared" si="26"/>
        <v>0</v>
      </c>
      <c r="N167" s="115">
        <v>0</v>
      </c>
    </row>
    <row r="168" spans="1:14" s="53" customFormat="1" ht="77.25" hidden="1" customHeight="1" thickBot="1" x14ac:dyDescent="0.3">
      <c r="A168" s="53" t="s">
        <v>133</v>
      </c>
      <c r="B168" s="429" t="s">
        <v>170</v>
      </c>
      <c r="C168" s="65" t="s">
        <v>178</v>
      </c>
      <c r="D168" s="74">
        <v>1415</v>
      </c>
      <c r="E168" s="84">
        <v>0.93220000000000003</v>
      </c>
      <c r="F168" s="74">
        <v>1896</v>
      </c>
      <c r="G168" s="84">
        <v>0.90659999999999996</v>
      </c>
      <c r="H168" s="90">
        <f t="shared" si="21"/>
        <v>-2.5600000000000067E-2</v>
      </c>
      <c r="I168" s="101">
        <f t="shared" si="22"/>
        <v>9.4513022271994068E-3</v>
      </c>
      <c r="J168" s="101">
        <f t="shared" si="23"/>
        <v>-2.7086214560282675</v>
      </c>
      <c r="K168" s="101">
        <f t="shared" si="24"/>
        <v>6.7563377712664963E-3</v>
      </c>
      <c r="L168" s="109" t="str">
        <f t="shared" si="25"/>
        <v>Yes</v>
      </c>
      <c r="M168" s="115">
        <f t="shared" si="26"/>
        <v>0</v>
      </c>
      <c r="N168" s="115">
        <v>0</v>
      </c>
    </row>
    <row r="169" spans="1:14" s="53" customFormat="1" ht="77.25" hidden="1" customHeight="1" thickBot="1" x14ac:dyDescent="0.3">
      <c r="A169" s="53" t="s">
        <v>133</v>
      </c>
      <c r="B169" s="430" t="s">
        <v>170</v>
      </c>
      <c r="C169" s="68" t="s">
        <v>179</v>
      </c>
      <c r="D169" s="75">
        <v>1782</v>
      </c>
      <c r="E169" s="85">
        <v>0.88049999999999995</v>
      </c>
      <c r="F169" s="75">
        <v>2622</v>
      </c>
      <c r="G169" s="85">
        <v>0.85770000000000002</v>
      </c>
      <c r="H169" s="90">
        <f t="shared" si="21"/>
        <v>-2.2799999999999931E-2</v>
      </c>
      <c r="I169" s="102">
        <f t="shared" si="22"/>
        <v>1.0275922465389517E-2</v>
      </c>
      <c r="J169" s="102">
        <f t="shared" si="23"/>
        <v>-2.2187789054260523</v>
      </c>
      <c r="K169" s="102">
        <f t="shared" si="24"/>
        <v>2.6501769809003317E-2</v>
      </c>
      <c r="L169" s="109" t="str">
        <f t="shared" si="25"/>
        <v>Yes</v>
      </c>
      <c r="M169" s="115">
        <f t="shared" si="26"/>
        <v>0</v>
      </c>
      <c r="N169" s="115">
        <v>0</v>
      </c>
    </row>
    <row r="170" spans="1:14" s="53" customFormat="1" ht="77.25" hidden="1" customHeight="1" thickBot="1" x14ac:dyDescent="0.3">
      <c r="A170" s="53" t="s">
        <v>133</v>
      </c>
      <c r="B170" s="428" t="s">
        <v>171</v>
      </c>
      <c r="C170" s="67" t="s">
        <v>177</v>
      </c>
      <c r="D170" s="76">
        <v>2033</v>
      </c>
      <c r="E170" s="86">
        <v>0.72699999999999998</v>
      </c>
      <c r="F170" s="76">
        <v>3050</v>
      </c>
      <c r="G170" s="86">
        <v>0.68979999999999997</v>
      </c>
      <c r="H170" s="90">
        <f t="shared" si="21"/>
        <v>-3.7200000000000011E-2</v>
      </c>
      <c r="I170" s="100">
        <f t="shared" si="22"/>
        <v>1.2953020691389684E-2</v>
      </c>
      <c r="J170" s="100">
        <f t="shared" si="23"/>
        <v>-2.8719169749128959</v>
      </c>
      <c r="K170" s="100">
        <f t="shared" si="24"/>
        <v>4.079901406998987E-3</v>
      </c>
      <c r="L170" s="109" t="str">
        <f t="shared" si="25"/>
        <v>Yes</v>
      </c>
      <c r="M170" s="115">
        <f t="shared" si="26"/>
        <v>0</v>
      </c>
      <c r="N170" s="115">
        <v>0</v>
      </c>
    </row>
    <row r="171" spans="1:14" s="53" customFormat="1" ht="77.25" hidden="1" customHeight="1" thickBot="1" x14ac:dyDescent="0.3">
      <c r="A171" s="53" t="s">
        <v>133</v>
      </c>
      <c r="B171" s="429" t="s">
        <v>171</v>
      </c>
      <c r="C171" s="65" t="s">
        <v>178</v>
      </c>
      <c r="D171" s="77">
        <v>2033</v>
      </c>
      <c r="E171" s="87">
        <v>0.74770000000000003</v>
      </c>
      <c r="F171" s="77">
        <v>3050</v>
      </c>
      <c r="G171" s="87">
        <v>0.71540000000000004</v>
      </c>
      <c r="H171" s="90">
        <f t="shared" si="21"/>
        <v>-3.2299999999999995E-2</v>
      </c>
      <c r="I171" s="101">
        <f t="shared" si="22"/>
        <v>1.2631164953468598E-2</v>
      </c>
      <c r="J171" s="101">
        <f t="shared" si="23"/>
        <v>-2.5571671432515188</v>
      </c>
      <c r="K171" s="101">
        <f t="shared" si="24"/>
        <v>1.0552849820856025E-2</v>
      </c>
      <c r="L171" s="109" t="str">
        <f t="shared" si="25"/>
        <v>Yes</v>
      </c>
      <c r="M171" s="115">
        <f t="shared" si="26"/>
        <v>0</v>
      </c>
      <c r="N171" s="115">
        <v>0</v>
      </c>
    </row>
    <row r="172" spans="1:14" s="53" customFormat="1" ht="77.25" hidden="1" customHeight="1" thickBot="1" x14ac:dyDescent="0.3">
      <c r="A172" s="53" t="s">
        <v>133</v>
      </c>
      <c r="B172" s="430" t="s">
        <v>171</v>
      </c>
      <c r="C172" s="68" t="s">
        <v>179</v>
      </c>
      <c r="D172" s="78">
        <v>2033</v>
      </c>
      <c r="E172" s="88">
        <v>0.57989999999999997</v>
      </c>
      <c r="F172" s="78">
        <v>3050</v>
      </c>
      <c r="G172" s="88">
        <v>0.53800000000000003</v>
      </c>
      <c r="H172" s="90">
        <f t="shared" si="21"/>
        <v>-4.1899999999999937E-2</v>
      </c>
      <c r="I172" s="102">
        <f t="shared" si="22"/>
        <v>1.4188888522575259E-2</v>
      </c>
      <c r="J172" s="102">
        <f t="shared" si="23"/>
        <v>-2.9530149548595621</v>
      </c>
      <c r="K172" s="102">
        <f t="shared" si="24"/>
        <v>3.1468671747538757E-3</v>
      </c>
      <c r="L172" s="109" t="str">
        <f t="shared" si="25"/>
        <v>Yes</v>
      </c>
      <c r="M172" s="115">
        <f t="shared" si="26"/>
        <v>0</v>
      </c>
      <c r="N172" s="115">
        <v>0</v>
      </c>
    </row>
    <row r="173" spans="1:14" s="60" customFormat="1" ht="77.25" hidden="1" customHeight="1" thickBot="1" x14ac:dyDescent="0.3">
      <c r="B173" s="62"/>
      <c r="C173" s="69" t="s">
        <v>176</v>
      </c>
      <c r="D173" s="79"/>
      <c r="E173" s="89"/>
      <c r="F173" s="79"/>
      <c r="G173" s="89"/>
      <c r="H173" s="93"/>
      <c r="I173" s="103"/>
      <c r="J173" s="103"/>
      <c r="K173" s="103"/>
      <c r="L173" s="110"/>
      <c r="M173" s="116"/>
      <c r="N173" s="116">
        <f>SUM(N167:N172)</f>
        <v>0</v>
      </c>
    </row>
    <row r="174" spans="1:14" s="53" customFormat="1" ht="77.25" hidden="1" customHeight="1" thickBot="1" x14ac:dyDescent="0.3">
      <c r="A174" s="53" t="s">
        <v>134</v>
      </c>
      <c r="B174" s="428" t="s">
        <v>170</v>
      </c>
      <c r="C174" s="67" t="s">
        <v>177</v>
      </c>
      <c r="D174" s="80">
        <v>555</v>
      </c>
      <c r="E174" s="90">
        <v>0.24679999999999999</v>
      </c>
      <c r="F174" s="80">
        <v>532</v>
      </c>
      <c r="G174" s="90">
        <v>0.3402</v>
      </c>
      <c r="H174" s="90">
        <f t="shared" si="21"/>
        <v>9.3400000000000011E-2</v>
      </c>
      <c r="I174" s="100">
        <f t="shared" si="22"/>
        <v>2.7511111234310579E-2</v>
      </c>
      <c r="J174" s="100">
        <f t="shared" si="23"/>
        <v>3.3949919072522188</v>
      </c>
      <c r="K174" s="100">
        <f t="shared" si="24"/>
        <v>6.8630629176702485E-4</v>
      </c>
      <c r="L174" s="109" t="str">
        <f t="shared" si="25"/>
        <v>Yes</v>
      </c>
      <c r="M174" s="115">
        <f t="shared" si="26"/>
        <v>1</v>
      </c>
      <c r="N174" s="115">
        <v>2</v>
      </c>
    </row>
    <row r="175" spans="1:14" s="53" customFormat="1" ht="77.25" hidden="1" customHeight="1" thickBot="1" x14ac:dyDescent="0.3">
      <c r="A175" s="53" t="s">
        <v>134</v>
      </c>
      <c r="B175" s="429" t="s">
        <v>170</v>
      </c>
      <c r="C175" s="65" t="s">
        <v>178</v>
      </c>
      <c r="D175" s="74">
        <v>644</v>
      </c>
      <c r="E175" s="84">
        <v>0.29970000000000002</v>
      </c>
      <c r="F175" s="74">
        <v>649</v>
      </c>
      <c r="G175" s="84">
        <v>0.39600000000000002</v>
      </c>
      <c r="H175" s="90">
        <f t="shared" si="21"/>
        <v>9.6299999999999997E-2</v>
      </c>
      <c r="I175" s="101">
        <f t="shared" si="22"/>
        <v>2.6352283662859573E-2</v>
      </c>
      <c r="J175" s="101">
        <f t="shared" si="23"/>
        <v>3.6543322480898857</v>
      </c>
      <c r="K175" s="101">
        <f t="shared" si="24"/>
        <v>2.5785218628038287E-4</v>
      </c>
      <c r="L175" s="109" t="str">
        <f t="shared" si="25"/>
        <v>Yes</v>
      </c>
      <c r="M175" s="115">
        <f t="shared" si="26"/>
        <v>1</v>
      </c>
      <c r="N175" s="115">
        <v>2</v>
      </c>
    </row>
    <row r="176" spans="1:14" s="53" customFormat="1" ht="77.25" hidden="1" customHeight="1" thickBot="1" x14ac:dyDescent="0.3">
      <c r="A176" s="53" t="s">
        <v>134</v>
      </c>
      <c r="B176" s="430" t="s">
        <v>170</v>
      </c>
      <c r="C176" s="68" t="s">
        <v>179</v>
      </c>
      <c r="D176" s="75">
        <v>606</v>
      </c>
      <c r="E176" s="85">
        <v>0.25580000000000003</v>
      </c>
      <c r="F176" s="75">
        <v>546</v>
      </c>
      <c r="G176" s="85">
        <v>0.27839999999999998</v>
      </c>
      <c r="H176" s="90">
        <f t="shared" si="21"/>
        <v>2.2599999999999953E-2</v>
      </c>
      <c r="I176" s="102">
        <f t="shared" si="22"/>
        <v>2.6116519884691037E-2</v>
      </c>
      <c r="J176" s="102">
        <f t="shared" si="23"/>
        <v>0.86535266183177817</v>
      </c>
      <c r="K176" s="102">
        <f t="shared" si="24"/>
        <v>0.38684525478487553</v>
      </c>
      <c r="L176" s="109" t="str">
        <f t="shared" si="25"/>
        <v>No</v>
      </c>
      <c r="M176" s="115">
        <f t="shared" si="26"/>
        <v>1</v>
      </c>
      <c r="N176" s="115">
        <v>1</v>
      </c>
    </row>
    <row r="177" spans="1:14" s="53" customFormat="1" ht="77.25" hidden="1" customHeight="1" thickBot="1" x14ac:dyDescent="0.3">
      <c r="A177" s="53" t="s">
        <v>134</v>
      </c>
      <c r="B177" s="428" t="s">
        <v>171</v>
      </c>
      <c r="C177" s="67" t="s">
        <v>177</v>
      </c>
      <c r="D177" s="76">
        <v>795</v>
      </c>
      <c r="E177" s="86">
        <v>0.44529999999999997</v>
      </c>
      <c r="F177" s="76">
        <v>763</v>
      </c>
      <c r="G177" s="86">
        <v>0.46920000000000001</v>
      </c>
      <c r="H177" s="90">
        <f t="shared" si="21"/>
        <v>2.3900000000000032E-2</v>
      </c>
      <c r="I177" s="100">
        <f t="shared" si="22"/>
        <v>2.5241086906299816E-2</v>
      </c>
      <c r="J177" s="100">
        <f t="shared" si="23"/>
        <v>0.94686889232313265</v>
      </c>
      <c r="K177" s="100">
        <f t="shared" si="24"/>
        <v>0.34370559109910692</v>
      </c>
      <c r="L177" s="109" t="str">
        <f t="shared" si="25"/>
        <v>No</v>
      </c>
      <c r="M177" s="115">
        <f t="shared" si="26"/>
        <v>1</v>
      </c>
      <c r="N177" s="115">
        <v>1</v>
      </c>
    </row>
    <row r="178" spans="1:14" s="53" customFormat="1" ht="77.25" hidden="1" customHeight="1" thickBot="1" x14ac:dyDescent="0.3">
      <c r="A178" s="53" t="s">
        <v>134</v>
      </c>
      <c r="B178" s="429" t="s">
        <v>171</v>
      </c>
      <c r="C178" s="65" t="s">
        <v>178</v>
      </c>
      <c r="D178" s="77">
        <v>795</v>
      </c>
      <c r="E178" s="87">
        <v>0.34720000000000001</v>
      </c>
      <c r="F178" s="77">
        <v>763</v>
      </c>
      <c r="G178" s="87">
        <v>0.3644</v>
      </c>
      <c r="H178" s="90">
        <f t="shared" si="21"/>
        <v>1.7199999999999993E-2</v>
      </c>
      <c r="I178" s="101">
        <f t="shared" si="22"/>
        <v>2.426215748777449E-2</v>
      </c>
      <c r="J178" s="101">
        <f t="shared" si="23"/>
        <v>0.70892293930030492</v>
      </c>
      <c r="K178" s="101">
        <f t="shared" si="24"/>
        <v>0.47837229898933864</v>
      </c>
      <c r="L178" s="109" t="str">
        <f t="shared" si="25"/>
        <v>No</v>
      </c>
      <c r="M178" s="115">
        <f t="shared" si="26"/>
        <v>1</v>
      </c>
      <c r="N178" s="115">
        <v>1</v>
      </c>
    </row>
    <row r="179" spans="1:14" s="53" customFormat="1" ht="77.25" hidden="1" customHeight="1" thickBot="1" x14ac:dyDescent="0.3">
      <c r="A179" s="53" t="s">
        <v>134</v>
      </c>
      <c r="B179" s="430" t="s">
        <v>171</v>
      </c>
      <c r="C179" s="68" t="s">
        <v>179</v>
      </c>
      <c r="D179" s="78">
        <v>795</v>
      </c>
      <c r="E179" s="88">
        <v>0.39500000000000002</v>
      </c>
      <c r="F179" s="78">
        <v>763</v>
      </c>
      <c r="G179" s="88">
        <v>0.44169999999999998</v>
      </c>
      <c r="H179" s="90">
        <f t="shared" si="21"/>
        <v>4.6699999999999964E-2</v>
      </c>
      <c r="I179" s="102">
        <f t="shared" si="22"/>
        <v>2.4975925249625781E-2</v>
      </c>
      <c r="J179" s="102">
        <f t="shared" si="23"/>
        <v>1.8698005993071138</v>
      </c>
      <c r="K179" s="102">
        <f t="shared" si="24"/>
        <v>6.1511513122785022E-2</v>
      </c>
      <c r="L179" s="109" t="str">
        <f t="shared" si="25"/>
        <v>No</v>
      </c>
      <c r="M179" s="115">
        <f t="shared" si="26"/>
        <v>1</v>
      </c>
      <c r="N179" s="115">
        <v>1</v>
      </c>
    </row>
    <row r="180" spans="1:14" s="60" customFormat="1" ht="77.25" hidden="1" customHeight="1" thickBot="1" x14ac:dyDescent="0.3">
      <c r="B180" s="62"/>
      <c r="C180" s="69" t="s">
        <v>176</v>
      </c>
      <c r="D180" s="79"/>
      <c r="E180" s="89"/>
      <c r="F180" s="79"/>
      <c r="G180" s="89"/>
      <c r="H180" s="93"/>
      <c r="I180" s="103"/>
      <c r="J180" s="103"/>
      <c r="K180" s="103"/>
      <c r="L180" s="110"/>
      <c r="M180" s="116"/>
      <c r="N180" s="116">
        <f>SUM(N174:N179)</f>
        <v>8</v>
      </c>
    </row>
    <row r="181" spans="1:14" s="53" customFormat="1" ht="77.25" hidden="1" customHeight="1" thickBot="1" x14ac:dyDescent="0.3">
      <c r="A181" s="53" t="s">
        <v>135</v>
      </c>
      <c r="B181" s="428" t="s">
        <v>170</v>
      </c>
      <c r="C181" s="67" t="s">
        <v>177</v>
      </c>
      <c r="D181" s="80">
        <v>1512</v>
      </c>
      <c r="E181" s="90">
        <v>0.57279999999999998</v>
      </c>
      <c r="F181" s="80">
        <v>3171</v>
      </c>
      <c r="G181" s="90">
        <v>0.56669999999999998</v>
      </c>
      <c r="H181" s="90">
        <f t="shared" si="21"/>
        <v>-6.0999999999999943E-3</v>
      </c>
      <c r="I181" s="100">
        <f t="shared" si="22"/>
        <v>1.5468523530866005E-2</v>
      </c>
      <c r="J181" s="100">
        <f t="shared" si="23"/>
        <v>-0.39434920778495824</v>
      </c>
      <c r="K181" s="100">
        <f t="shared" si="24"/>
        <v>0.69332323798183459</v>
      </c>
      <c r="L181" s="109" t="str">
        <f t="shared" si="25"/>
        <v>No</v>
      </c>
      <c r="M181" s="115">
        <f t="shared" si="26"/>
        <v>0</v>
      </c>
      <c r="N181" s="115">
        <v>1</v>
      </c>
    </row>
    <row r="182" spans="1:14" s="53" customFormat="1" ht="77.25" hidden="1" customHeight="1" thickBot="1" x14ac:dyDescent="0.3">
      <c r="A182" s="53" t="s">
        <v>135</v>
      </c>
      <c r="B182" s="429" t="s">
        <v>170</v>
      </c>
      <c r="C182" s="65" t="s">
        <v>178</v>
      </c>
      <c r="D182" s="74">
        <v>2922</v>
      </c>
      <c r="E182" s="84">
        <v>0.89629999999999999</v>
      </c>
      <c r="F182" s="74">
        <v>5722</v>
      </c>
      <c r="G182" s="84">
        <v>0.87639999999999996</v>
      </c>
      <c r="H182" s="90">
        <f t="shared" si="21"/>
        <v>-1.9900000000000029E-2</v>
      </c>
      <c r="I182" s="101">
        <f t="shared" si="22"/>
        <v>7.1232096826373027E-3</v>
      </c>
      <c r="J182" s="101">
        <f t="shared" si="23"/>
        <v>-2.7936844325256809</v>
      </c>
      <c r="K182" s="101">
        <f t="shared" si="24"/>
        <v>5.2111303710802304E-3</v>
      </c>
      <c r="L182" s="109" t="str">
        <f t="shared" si="25"/>
        <v>Yes</v>
      </c>
      <c r="M182" s="115">
        <f t="shared" si="26"/>
        <v>0</v>
      </c>
      <c r="N182" s="115">
        <v>0</v>
      </c>
    </row>
    <row r="183" spans="1:14" s="53" customFormat="1" ht="77.25" hidden="1" customHeight="1" thickBot="1" x14ac:dyDescent="0.3">
      <c r="A183" s="53" t="s">
        <v>135</v>
      </c>
      <c r="B183" s="430" t="s">
        <v>170</v>
      </c>
      <c r="C183" s="68" t="s">
        <v>179</v>
      </c>
      <c r="D183" s="75">
        <v>1819</v>
      </c>
      <c r="E183" s="85">
        <v>0.95440000000000003</v>
      </c>
      <c r="F183" s="75">
        <v>3822</v>
      </c>
      <c r="G183" s="85">
        <v>0.9466</v>
      </c>
      <c r="H183" s="90">
        <f t="shared" ref="H183:H256" si="27">G183-E183</f>
        <v>-7.8000000000000291E-3</v>
      </c>
      <c r="I183" s="102">
        <f t="shared" si="22"/>
        <v>6.0951814556989871E-3</v>
      </c>
      <c r="J183" s="102">
        <f t="shared" si="23"/>
        <v>-1.2796993915098358</v>
      </c>
      <c r="K183" s="102">
        <f t="shared" si="24"/>
        <v>0.20065087871082699</v>
      </c>
      <c r="L183" s="109" t="str">
        <f t="shared" si="25"/>
        <v>No</v>
      </c>
      <c r="M183" s="115">
        <f t="shared" si="26"/>
        <v>0</v>
      </c>
      <c r="N183" s="115">
        <v>1</v>
      </c>
    </row>
    <row r="184" spans="1:14" s="53" customFormat="1" ht="77.25" hidden="1" customHeight="1" thickBot="1" x14ac:dyDescent="0.3">
      <c r="A184" s="53" t="s">
        <v>135</v>
      </c>
      <c r="B184" s="428" t="s">
        <v>171</v>
      </c>
      <c r="C184" s="67" t="s">
        <v>177</v>
      </c>
      <c r="D184" s="76">
        <v>3361</v>
      </c>
      <c r="E184" s="86">
        <v>0.745</v>
      </c>
      <c r="F184" s="76">
        <v>6525</v>
      </c>
      <c r="G184" s="86">
        <v>0.70850000000000002</v>
      </c>
      <c r="H184" s="90">
        <f t="shared" si="27"/>
        <v>-3.6499999999999977E-2</v>
      </c>
      <c r="I184" s="100">
        <f t="shared" si="22"/>
        <v>9.3901607332415784E-3</v>
      </c>
      <c r="J184" s="100">
        <f t="shared" si="23"/>
        <v>-3.8870474145121272</v>
      </c>
      <c r="K184" s="100">
        <f t="shared" si="24"/>
        <v>1.0147093957191267E-4</v>
      </c>
      <c r="L184" s="109" t="str">
        <f t="shared" si="25"/>
        <v>Yes</v>
      </c>
      <c r="M184" s="115">
        <f t="shared" si="26"/>
        <v>0</v>
      </c>
      <c r="N184" s="115">
        <v>0</v>
      </c>
    </row>
    <row r="185" spans="1:14" s="53" customFormat="1" ht="77.25" hidden="1" customHeight="1" thickBot="1" x14ac:dyDescent="0.3">
      <c r="A185" s="53" t="s">
        <v>135</v>
      </c>
      <c r="B185" s="429" t="s">
        <v>171</v>
      </c>
      <c r="C185" s="65" t="s">
        <v>178</v>
      </c>
      <c r="D185" s="77">
        <v>3361</v>
      </c>
      <c r="E185" s="87">
        <v>0.56559999999999999</v>
      </c>
      <c r="F185" s="77">
        <v>6525</v>
      </c>
      <c r="G185" s="87">
        <v>0.51629999999999998</v>
      </c>
      <c r="H185" s="90">
        <f t="shared" si="27"/>
        <v>-4.930000000000001E-2</v>
      </c>
      <c r="I185" s="101">
        <f t="shared" si="22"/>
        <v>1.0553468664434969E-2</v>
      </c>
      <c r="J185" s="101">
        <f t="shared" si="23"/>
        <v>-4.6714498870063705</v>
      </c>
      <c r="K185" s="101">
        <f t="shared" si="24"/>
        <v>2.9908107128662209E-6</v>
      </c>
      <c r="L185" s="109" t="str">
        <f t="shared" si="25"/>
        <v>Yes</v>
      </c>
      <c r="M185" s="115">
        <f t="shared" si="26"/>
        <v>0</v>
      </c>
      <c r="N185" s="115">
        <v>0</v>
      </c>
    </row>
    <row r="186" spans="1:14" s="53" customFormat="1" ht="77.25" hidden="1" customHeight="1" thickBot="1" x14ac:dyDescent="0.3">
      <c r="A186" s="53" t="s">
        <v>135</v>
      </c>
      <c r="B186" s="430" t="s">
        <v>171</v>
      </c>
      <c r="C186" s="68" t="s">
        <v>179</v>
      </c>
      <c r="D186" s="78">
        <v>3361</v>
      </c>
      <c r="E186" s="88">
        <v>0.78879999999999995</v>
      </c>
      <c r="F186" s="78">
        <v>6525</v>
      </c>
      <c r="G186" s="88">
        <v>0.73660000000000003</v>
      </c>
      <c r="H186" s="90">
        <f t="shared" si="27"/>
        <v>-5.2199999999999913E-2</v>
      </c>
      <c r="I186" s="102">
        <f t="shared" si="22"/>
        <v>8.9051611746761902E-3</v>
      </c>
      <c r="J186" s="102">
        <f t="shared" si="23"/>
        <v>-5.861769256736447</v>
      </c>
      <c r="K186" s="102">
        <f t="shared" si="24"/>
        <v>4.5796111347584656E-9</v>
      </c>
      <c r="L186" s="109" t="str">
        <f t="shared" si="25"/>
        <v>Yes</v>
      </c>
      <c r="M186" s="115">
        <f t="shared" si="26"/>
        <v>0</v>
      </c>
      <c r="N186" s="115">
        <v>0</v>
      </c>
    </row>
    <row r="187" spans="1:14" s="60" customFormat="1" ht="77.25" hidden="1" customHeight="1" thickBot="1" x14ac:dyDescent="0.3">
      <c r="B187" s="62"/>
      <c r="C187" s="69" t="s">
        <v>176</v>
      </c>
      <c r="D187" s="79"/>
      <c r="E187" s="89"/>
      <c r="F187" s="79"/>
      <c r="G187" s="89"/>
      <c r="H187" s="93"/>
      <c r="I187" s="103"/>
      <c r="J187" s="103"/>
      <c r="K187" s="103"/>
      <c r="L187" s="110"/>
      <c r="M187" s="116"/>
      <c r="N187" s="116">
        <f>SUM(N181:N186)</f>
        <v>2</v>
      </c>
    </row>
    <row r="188" spans="1:14" s="53" customFormat="1" ht="77.25" hidden="1" customHeight="1" thickBot="1" x14ac:dyDescent="0.3">
      <c r="A188" s="53" t="s">
        <v>136</v>
      </c>
      <c r="B188" s="428" t="s">
        <v>170</v>
      </c>
      <c r="C188" s="67" t="s">
        <v>177</v>
      </c>
      <c r="D188" s="80">
        <v>3168</v>
      </c>
      <c r="E188" s="90">
        <v>0.68840000000000001</v>
      </c>
      <c r="F188" s="80">
        <v>3036</v>
      </c>
      <c r="G188" s="90">
        <v>0.66039999999999999</v>
      </c>
      <c r="H188" s="90">
        <f t="shared" si="27"/>
        <v>-2.8000000000000025E-2</v>
      </c>
      <c r="I188" s="100">
        <f t="shared" si="22"/>
        <v>1.1898776430565295E-2</v>
      </c>
      <c r="J188" s="100">
        <f t="shared" si="23"/>
        <v>-2.3531831330215001</v>
      </c>
      <c r="K188" s="100">
        <f t="shared" si="24"/>
        <v>1.8613464418478332E-2</v>
      </c>
      <c r="L188" s="109" t="str">
        <f t="shared" si="25"/>
        <v>Yes</v>
      </c>
      <c r="M188" s="115">
        <f t="shared" si="26"/>
        <v>0</v>
      </c>
      <c r="N188" s="115">
        <v>0</v>
      </c>
    </row>
    <row r="189" spans="1:14" s="53" customFormat="1" ht="77.25" hidden="1" customHeight="1" thickBot="1" x14ac:dyDescent="0.3">
      <c r="A189" s="53" t="s">
        <v>136</v>
      </c>
      <c r="B189" s="429" t="s">
        <v>170</v>
      </c>
      <c r="C189" s="65" t="s">
        <v>178</v>
      </c>
      <c r="D189" s="74">
        <v>3732</v>
      </c>
      <c r="E189" s="84">
        <v>0.73199999999999998</v>
      </c>
      <c r="F189" s="74">
        <v>3524</v>
      </c>
      <c r="G189" s="84">
        <v>0.7117</v>
      </c>
      <c r="H189" s="90">
        <f t="shared" si="27"/>
        <v>-2.0299999999999985E-2</v>
      </c>
      <c r="I189" s="101">
        <f t="shared" si="22"/>
        <v>1.0525702278384914E-2</v>
      </c>
      <c r="J189" s="101">
        <f t="shared" si="23"/>
        <v>-1.928612406384238</v>
      </c>
      <c r="K189" s="101">
        <f t="shared" si="24"/>
        <v>5.3778997700757447E-2</v>
      </c>
      <c r="L189" s="109" t="str">
        <f t="shared" si="25"/>
        <v>No</v>
      </c>
      <c r="M189" s="115">
        <f t="shared" si="26"/>
        <v>0</v>
      </c>
      <c r="N189" s="115">
        <v>1</v>
      </c>
    </row>
    <row r="190" spans="1:14" s="53" customFormat="1" ht="77.25" hidden="1" customHeight="1" thickBot="1" x14ac:dyDescent="0.3">
      <c r="A190" s="53" t="s">
        <v>136</v>
      </c>
      <c r="B190" s="430" t="s">
        <v>170</v>
      </c>
      <c r="C190" s="68" t="s">
        <v>179</v>
      </c>
      <c r="D190" s="75">
        <v>4123</v>
      </c>
      <c r="E190" s="85">
        <v>0.7429</v>
      </c>
      <c r="F190" s="75">
        <v>4221</v>
      </c>
      <c r="G190" s="85">
        <v>0.75029999999999997</v>
      </c>
      <c r="H190" s="90">
        <f t="shared" si="27"/>
        <v>7.3999999999999622E-3</v>
      </c>
      <c r="I190" s="102">
        <f t="shared" si="22"/>
        <v>9.5242105791705379E-3</v>
      </c>
      <c r="J190" s="102">
        <f t="shared" si="23"/>
        <v>0.77696728127617976</v>
      </c>
      <c r="K190" s="102">
        <f t="shared" si="24"/>
        <v>0.43717807417685339</v>
      </c>
      <c r="L190" s="109" t="str">
        <f t="shared" si="25"/>
        <v>No</v>
      </c>
      <c r="M190" s="115">
        <f t="shared" si="26"/>
        <v>1</v>
      </c>
      <c r="N190" s="115">
        <v>1</v>
      </c>
    </row>
    <row r="191" spans="1:14" s="53" customFormat="1" ht="77.25" hidden="1" customHeight="1" thickBot="1" x14ac:dyDescent="0.3">
      <c r="A191" s="53" t="s">
        <v>136</v>
      </c>
      <c r="B191" s="428" t="s">
        <v>171</v>
      </c>
      <c r="C191" s="67" t="s">
        <v>177</v>
      </c>
      <c r="D191" s="76">
        <v>4874</v>
      </c>
      <c r="E191" s="86">
        <v>0.65569999999999995</v>
      </c>
      <c r="F191" s="76">
        <v>4838</v>
      </c>
      <c r="G191" s="86">
        <v>0.64900000000000002</v>
      </c>
      <c r="H191" s="90">
        <f t="shared" si="27"/>
        <v>-6.6999999999999282E-3</v>
      </c>
      <c r="I191" s="100">
        <f t="shared" si="22"/>
        <v>9.6645796573343514E-3</v>
      </c>
      <c r="J191" s="100">
        <f t="shared" si="23"/>
        <v>-0.69325311990318861</v>
      </c>
      <c r="K191" s="100">
        <f t="shared" si="24"/>
        <v>0.48815071748966976</v>
      </c>
      <c r="L191" s="109" t="str">
        <f t="shared" si="25"/>
        <v>No</v>
      </c>
      <c r="M191" s="115">
        <f t="shared" si="26"/>
        <v>0</v>
      </c>
      <c r="N191" s="115">
        <v>1</v>
      </c>
    </row>
    <row r="192" spans="1:14" s="53" customFormat="1" ht="77.25" hidden="1" customHeight="1" thickBot="1" x14ac:dyDescent="0.3">
      <c r="A192" s="53" t="s">
        <v>136</v>
      </c>
      <c r="B192" s="429" t="s">
        <v>171</v>
      </c>
      <c r="C192" s="65" t="s">
        <v>178</v>
      </c>
      <c r="D192" s="77">
        <v>4877</v>
      </c>
      <c r="E192" s="87">
        <v>0.60899999999999999</v>
      </c>
      <c r="F192" s="77">
        <v>4840</v>
      </c>
      <c r="G192" s="87">
        <v>0.61339999999999995</v>
      </c>
      <c r="H192" s="90">
        <f t="shared" si="27"/>
        <v>4.3999999999999595E-3</v>
      </c>
      <c r="I192" s="101">
        <f t="shared" si="22"/>
        <v>9.89044240818082E-3</v>
      </c>
      <c r="J192" s="101">
        <f t="shared" si="23"/>
        <v>0.44487393166159339</v>
      </c>
      <c r="K192" s="101">
        <f t="shared" si="24"/>
        <v>0.65641086237182433</v>
      </c>
      <c r="L192" s="109" t="str">
        <f t="shared" si="25"/>
        <v>No</v>
      </c>
      <c r="M192" s="115">
        <f t="shared" si="26"/>
        <v>1</v>
      </c>
      <c r="N192" s="115">
        <v>1</v>
      </c>
    </row>
    <row r="193" spans="1:14" s="53" customFormat="1" ht="77.25" hidden="1" customHeight="1" thickBot="1" x14ac:dyDescent="0.3">
      <c r="A193" s="53" t="s">
        <v>136</v>
      </c>
      <c r="B193" s="430" t="s">
        <v>171</v>
      </c>
      <c r="C193" s="68" t="s">
        <v>179</v>
      </c>
      <c r="D193" s="78">
        <v>4884</v>
      </c>
      <c r="E193" s="88">
        <v>0.59030000000000005</v>
      </c>
      <c r="F193" s="78">
        <v>4840</v>
      </c>
      <c r="G193" s="88">
        <v>0.56159999999999999</v>
      </c>
      <c r="H193" s="90">
        <f t="shared" si="27"/>
        <v>-2.8700000000000059E-2</v>
      </c>
      <c r="I193" s="102">
        <f t="shared" si="22"/>
        <v>1.0019325933039761E-2</v>
      </c>
      <c r="J193" s="102">
        <f t="shared" si="23"/>
        <v>-2.8644641557531179</v>
      </c>
      <c r="K193" s="102">
        <f t="shared" si="24"/>
        <v>4.1771542740145495E-3</v>
      </c>
      <c r="L193" s="109" t="str">
        <f t="shared" si="25"/>
        <v>Yes</v>
      </c>
      <c r="M193" s="115">
        <f t="shared" si="26"/>
        <v>0</v>
      </c>
      <c r="N193" s="115">
        <v>0</v>
      </c>
    </row>
    <row r="194" spans="1:14" s="60" customFormat="1" ht="77.25" hidden="1" customHeight="1" thickBot="1" x14ac:dyDescent="0.3">
      <c r="B194" s="62"/>
      <c r="C194" s="69" t="s">
        <v>176</v>
      </c>
      <c r="D194" s="79"/>
      <c r="E194" s="89"/>
      <c r="F194" s="79"/>
      <c r="G194" s="89"/>
      <c r="H194" s="93"/>
      <c r="I194" s="103"/>
      <c r="J194" s="103"/>
      <c r="K194" s="103"/>
      <c r="L194" s="110"/>
      <c r="M194" s="116"/>
      <c r="N194" s="116">
        <f>SUM(N188:N193)</f>
        <v>4</v>
      </c>
    </row>
    <row r="195" spans="1:14" s="53" customFormat="1" ht="77.25" hidden="1" customHeight="1" thickBot="1" x14ac:dyDescent="0.3">
      <c r="A195" s="53" t="s">
        <v>137</v>
      </c>
      <c r="B195" s="428" t="s">
        <v>170</v>
      </c>
      <c r="C195" s="67" t="s">
        <v>177</v>
      </c>
      <c r="D195" s="80">
        <v>25</v>
      </c>
      <c r="E195" s="90">
        <v>0.24</v>
      </c>
      <c r="F195" s="80">
        <v>217</v>
      </c>
      <c r="G195" s="90">
        <v>0.44700000000000001</v>
      </c>
      <c r="H195" s="90">
        <f t="shared" si="27"/>
        <v>0.20700000000000002</v>
      </c>
      <c r="I195" s="100">
        <f t="shared" ref="I195:I263" si="28">SQRT(E195*(1-E195)/D195+G195*(1-G195)/F195)</f>
        <v>9.1842958533891225E-2</v>
      </c>
      <c r="J195" s="100">
        <f t="shared" ref="J195:J263" si="29">H195/I195</f>
        <v>2.2538472551884787</v>
      </c>
      <c r="K195" s="100">
        <f t="shared" ref="K195:K263" si="30">2*(1-NORMDIST(ABS(J195),0,1,TRUE))</f>
        <v>2.4205778813264134E-2</v>
      </c>
      <c r="L195" s="109" t="str">
        <f t="shared" ref="L195:L263" si="31">IF(K195="","",IF(K195&lt;=0.05, "Yes", "No"))</f>
        <v>Yes</v>
      </c>
      <c r="M195" s="115">
        <f t="shared" ref="M195:M263" si="32">IF(H195&gt;=0, 1, 0)</f>
        <v>1</v>
      </c>
      <c r="N195" s="115">
        <v>2</v>
      </c>
    </row>
    <row r="196" spans="1:14" s="53" customFormat="1" ht="77.25" hidden="1" customHeight="1" thickBot="1" x14ac:dyDescent="0.3">
      <c r="A196" s="53" t="s">
        <v>137</v>
      </c>
      <c r="B196" s="429" t="s">
        <v>170</v>
      </c>
      <c r="C196" s="65" t="s">
        <v>178</v>
      </c>
      <c r="D196" s="74">
        <v>30</v>
      </c>
      <c r="E196" s="84">
        <v>0.36670000000000003</v>
      </c>
      <c r="F196" s="74">
        <v>296</v>
      </c>
      <c r="G196" s="84">
        <v>0.54049999999999998</v>
      </c>
      <c r="H196" s="90">
        <f t="shared" si="27"/>
        <v>0.17379999999999995</v>
      </c>
      <c r="I196" s="101">
        <f t="shared" si="28"/>
        <v>9.2628776357347287E-2</v>
      </c>
      <c r="J196" s="101">
        <f t="shared" si="29"/>
        <v>1.8763067680987906</v>
      </c>
      <c r="K196" s="101">
        <f t="shared" si="30"/>
        <v>6.0613168222043212E-2</v>
      </c>
      <c r="L196" s="109" t="str">
        <f t="shared" si="31"/>
        <v>No</v>
      </c>
      <c r="M196" s="115">
        <f t="shared" si="32"/>
        <v>1</v>
      </c>
      <c r="N196" s="115">
        <v>1</v>
      </c>
    </row>
    <row r="197" spans="1:14" s="53" customFormat="1" ht="77.25" hidden="1" customHeight="1" thickBot="1" x14ac:dyDescent="0.3">
      <c r="A197" s="53" t="s">
        <v>137</v>
      </c>
      <c r="B197" s="430" t="s">
        <v>170</v>
      </c>
      <c r="C197" s="68" t="s">
        <v>179</v>
      </c>
      <c r="D197" s="75">
        <v>31</v>
      </c>
      <c r="E197" s="85">
        <v>0.4839</v>
      </c>
      <c r="F197" s="75">
        <v>234</v>
      </c>
      <c r="G197" s="85">
        <v>0.61109999999999998</v>
      </c>
      <c r="H197" s="90">
        <f t="shared" si="27"/>
        <v>0.12719999999999998</v>
      </c>
      <c r="I197" s="102">
        <f t="shared" si="28"/>
        <v>9.5245901874155922E-2</v>
      </c>
      <c r="J197" s="102">
        <f t="shared" si="29"/>
        <v>1.3354905302704105</v>
      </c>
      <c r="K197" s="102">
        <f t="shared" si="30"/>
        <v>0.18171585259046608</v>
      </c>
      <c r="L197" s="109" t="str">
        <f t="shared" si="31"/>
        <v>No</v>
      </c>
      <c r="M197" s="115">
        <f t="shared" si="32"/>
        <v>1</v>
      </c>
      <c r="N197" s="115">
        <v>1</v>
      </c>
    </row>
    <row r="198" spans="1:14" s="53" customFormat="1" ht="77.25" hidden="1" customHeight="1" thickBot="1" x14ac:dyDescent="0.3">
      <c r="A198" s="53" t="s">
        <v>137</v>
      </c>
      <c r="B198" s="428" t="s">
        <v>171</v>
      </c>
      <c r="C198" s="67" t="s">
        <v>177</v>
      </c>
      <c r="D198" s="76">
        <v>35</v>
      </c>
      <c r="E198" s="86">
        <v>0.37140000000000001</v>
      </c>
      <c r="F198" s="76">
        <v>339</v>
      </c>
      <c r="G198" s="86">
        <v>0.54869999999999997</v>
      </c>
      <c r="H198" s="90">
        <f t="shared" si="27"/>
        <v>0.17729999999999996</v>
      </c>
      <c r="I198" s="100">
        <f t="shared" si="28"/>
        <v>8.6027966331597316E-2</v>
      </c>
      <c r="J198" s="100">
        <f t="shared" si="29"/>
        <v>2.0609577043422358</v>
      </c>
      <c r="K198" s="100">
        <f t="shared" si="30"/>
        <v>3.9307075366333155E-2</v>
      </c>
      <c r="L198" s="109" t="str">
        <f t="shared" si="31"/>
        <v>Yes</v>
      </c>
      <c r="M198" s="115">
        <f t="shared" si="32"/>
        <v>1</v>
      </c>
      <c r="N198" s="115">
        <v>2</v>
      </c>
    </row>
    <row r="199" spans="1:14" s="53" customFormat="1" ht="77.25" hidden="1" customHeight="1" thickBot="1" x14ac:dyDescent="0.3">
      <c r="A199" s="53" t="s">
        <v>137</v>
      </c>
      <c r="B199" s="429" t="s">
        <v>171</v>
      </c>
      <c r="C199" s="65" t="s">
        <v>178</v>
      </c>
      <c r="D199" s="77">
        <v>35</v>
      </c>
      <c r="E199" s="87">
        <v>0.2286</v>
      </c>
      <c r="F199" s="77">
        <v>336</v>
      </c>
      <c r="G199" s="87">
        <v>0.33329999999999999</v>
      </c>
      <c r="H199" s="90">
        <f t="shared" si="27"/>
        <v>0.10469999999999999</v>
      </c>
      <c r="I199" s="101">
        <f t="shared" si="28"/>
        <v>7.5496268711014544E-2</v>
      </c>
      <c r="J199" s="101">
        <f t="shared" si="29"/>
        <v>1.3868235051558881</v>
      </c>
      <c r="K199" s="101">
        <f t="shared" si="30"/>
        <v>0.16549558784227836</v>
      </c>
      <c r="L199" s="109" t="str">
        <f t="shared" si="31"/>
        <v>No</v>
      </c>
      <c r="M199" s="115">
        <f t="shared" si="32"/>
        <v>1</v>
      </c>
      <c r="N199" s="115">
        <v>1</v>
      </c>
    </row>
    <row r="200" spans="1:14" s="53" customFormat="1" ht="77.25" hidden="1" customHeight="1" thickBot="1" x14ac:dyDescent="0.3">
      <c r="A200" s="53" t="s">
        <v>137</v>
      </c>
      <c r="B200" s="430" t="s">
        <v>171</v>
      </c>
      <c r="C200" s="68" t="s">
        <v>179</v>
      </c>
      <c r="D200" s="78">
        <v>35</v>
      </c>
      <c r="E200" s="88">
        <v>0.34289999999999998</v>
      </c>
      <c r="F200" s="78">
        <v>338</v>
      </c>
      <c r="G200" s="88">
        <v>0.58279999999999998</v>
      </c>
      <c r="H200" s="90">
        <f t="shared" si="27"/>
        <v>0.2399</v>
      </c>
      <c r="I200" s="102">
        <f t="shared" si="28"/>
        <v>8.4599432572251415E-2</v>
      </c>
      <c r="J200" s="102">
        <f t="shared" si="29"/>
        <v>2.835716419198385</v>
      </c>
      <c r="K200" s="102">
        <f t="shared" si="30"/>
        <v>4.5723024779760202E-3</v>
      </c>
      <c r="L200" s="109" t="str">
        <f t="shared" si="31"/>
        <v>Yes</v>
      </c>
      <c r="M200" s="115">
        <f t="shared" si="32"/>
        <v>1</v>
      </c>
      <c r="N200" s="115">
        <v>2</v>
      </c>
    </row>
    <row r="201" spans="1:14" s="60" customFormat="1" ht="77.25" hidden="1" customHeight="1" thickBot="1" x14ac:dyDescent="0.3">
      <c r="B201" s="62"/>
      <c r="C201" s="69" t="s">
        <v>176</v>
      </c>
      <c r="D201" s="79"/>
      <c r="E201" s="89"/>
      <c r="F201" s="79"/>
      <c r="G201" s="89"/>
      <c r="H201" s="93"/>
      <c r="I201" s="103"/>
      <c r="J201" s="103"/>
      <c r="K201" s="103"/>
      <c r="L201" s="110"/>
      <c r="M201" s="116"/>
      <c r="N201" s="116">
        <f>SUM(N195:N200)</f>
        <v>9</v>
      </c>
    </row>
    <row r="202" spans="1:14" s="53" customFormat="1" ht="77.25" hidden="1" customHeight="1" thickBot="1" x14ac:dyDescent="0.3">
      <c r="A202" s="53" t="s">
        <v>138</v>
      </c>
      <c r="B202" s="428" t="s">
        <v>170</v>
      </c>
      <c r="C202" s="67" t="s">
        <v>177</v>
      </c>
      <c r="D202" s="80">
        <v>2806</v>
      </c>
      <c r="E202" s="90">
        <v>0.76160000000000005</v>
      </c>
      <c r="F202" s="80">
        <v>2235</v>
      </c>
      <c r="G202" s="90">
        <v>0.78210000000000002</v>
      </c>
      <c r="H202" s="90">
        <f t="shared" si="27"/>
        <v>2.0499999999999963E-2</v>
      </c>
      <c r="I202" s="100">
        <f t="shared" si="28"/>
        <v>1.1872511099852377E-2</v>
      </c>
      <c r="J202" s="100">
        <f t="shared" si="29"/>
        <v>1.7266776865978133</v>
      </c>
      <c r="K202" s="100">
        <f t="shared" si="30"/>
        <v>8.4225565184333773E-2</v>
      </c>
      <c r="L202" s="109" t="str">
        <f t="shared" si="31"/>
        <v>No</v>
      </c>
      <c r="M202" s="115">
        <f t="shared" si="32"/>
        <v>1</v>
      </c>
      <c r="N202" s="115">
        <v>1</v>
      </c>
    </row>
    <row r="203" spans="1:14" s="53" customFormat="1" ht="77.25" hidden="1" customHeight="1" thickBot="1" x14ac:dyDescent="0.3">
      <c r="A203" s="53" t="s">
        <v>138</v>
      </c>
      <c r="B203" s="429" t="s">
        <v>170</v>
      </c>
      <c r="C203" s="65" t="s">
        <v>178</v>
      </c>
      <c r="D203" s="74">
        <v>3178</v>
      </c>
      <c r="E203" s="84">
        <v>0.80869999999999997</v>
      </c>
      <c r="F203" s="74">
        <v>2524</v>
      </c>
      <c r="G203" s="84">
        <v>0.80940000000000001</v>
      </c>
      <c r="H203" s="90">
        <f t="shared" si="27"/>
        <v>7.0000000000003393E-4</v>
      </c>
      <c r="I203" s="101">
        <f t="shared" si="28"/>
        <v>1.0478628545338728E-2</v>
      </c>
      <c r="J203" s="101">
        <f t="shared" si="29"/>
        <v>6.6802635189451315E-2</v>
      </c>
      <c r="K203" s="101">
        <f t="shared" si="30"/>
        <v>0.94673882552008237</v>
      </c>
      <c r="L203" s="109" t="str">
        <f t="shared" si="31"/>
        <v>No</v>
      </c>
      <c r="M203" s="115">
        <f t="shared" si="32"/>
        <v>1</v>
      </c>
      <c r="N203" s="115">
        <v>1</v>
      </c>
    </row>
    <row r="204" spans="1:14" s="53" customFormat="1" ht="77.25" hidden="1" customHeight="1" thickBot="1" x14ac:dyDescent="0.3">
      <c r="A204" s="53" t="s">
        <v>138</v>
      </c>
      <c r="B204" s="430" t="s">
        <v>170</v>
      </c>
      <c r="C204" s="68" t="s">
        <v>179</v>
      </c>
      <c r="D204" s="75">
        <v>3182</v>
      </c>
      <c r="E204" s="85">
        <v>0.79759999999999998</v>
      </c>
      <c r="F204" s="75">
        <v>2465</v>
      </c>
      <c r="G204" s="85">
        <v>0.81100000000000005</v>
      </c>
      <c r="H204" s="90">
        <f t="shared" si="27"/>
        <v>1.3400000000000079E-2</v>
      </c>
      <c r="I204" s="102">
        <f t="shared" si="28"/>
        <v>1.0626181179919935E-2</v>
      </c>
      <c r="J204" s="102">
        <f t="shared" si="29"/>
        <v>1.2610362813427056</v>
      </c>
      <c r="K204" s="102">
        <f t="shared" si="30"/>
        <v>0.20729577571880431</v>
      </c>
      <c r="L204" s="109" t="str">
        <f t="shared" si="31"/>
        <v>No</v>
      </c>
      <c r="M204" s="115">
        <f t="shared" si="32"/>
        <v>1</v>
      </c>
      <c r="N204" s="115">
        <v>1</v>
      </c>
    </row>
    <row r="205" spans="1:14" s="53" customFormat="1" ht="77.25" hidden="1" customHeight="1" thickBot="1" x14ac:dyDescent="0.3">
      <c r="A205" s="53" t="s">
        <v>138</v>
      </c>
      <c r="B205" s="428" t="s">
        <v>171</v>
      </c>
      <c r="C205" s="67" t="s">
        <v>177</v>
      </c>
      <c r="D205" s="76">
        <v>3682</v>
      </c>
      <c r="E205" s="86">
        <v>0.57709999999999995</v>
      </c>
      <c r="F205" s="76">
        <v>2803</v>
      </c>
      <c r="G205" s="86">
        <v>0.54190000000000005</v>
      </c>
      <c r="H205" s="90">
        <f t="shared" si="27"/>
        <v>-3.5199999999999898E-2</v>
      </c>
      <c r="I205" s="100">
        <f t="shared" si="28"/>
        <v>1.2443763542720896E-2</v>
      </c>
      <c r="J205" s="100">
        <f t="shared" si="29"/>
        <v>-2.8287262032225362</v>
      </c>
      <c r="K205" s="100">
        <f t="shared" si="30"/>
        <v>4.6733661664937198E-3</v>
      </c>
      <c r="L205" s="109" t="str">
        <f t="shared" si="31"/>
        <v>Yes</v>
      </c>
      <c r="M205" s="115">
        <f t="shared" si="32"/>
        <v>0</v>
      </c>
      <c r="N205" s="115">
        <v>0</v>
      </c>
    </row>
    <row r="206" spans="1:14" s="53" customFormat="1" ht="77.25" hidden="1" customHeight="1" thickBot="1" x14ac:dyDescent="0.3">
      <c r="A206" s="53" t="s">
        <v>138</v>
      </c>
      <c r="B206" s="429" t="s">
        <v>171</v>
      </c>
      <c r="C206" s="65" t="s">
        <v>178</v>
      </c>
      <c r="D206" s="77">
        <v>3674</v>
      </c>
      <c r="E206" s="87">
        <v>0.53459999999999996</v>
      </c>
      <c r="F206" s="77">
        <v>2803</v>
      </c>
      <c r="G206" s="87">
        <v>0.48630000000000001</v>
      </c>
      <c r="H206" s="90">
        <f t="shared" si="27"/>
        <v>-4.8299999999999954E-2</v>
      </c>
      <c r="I206" s="101">
        <f t="shared" si="28"/>
        <v>1.2523700461405683E-2</v>
      </c>
      <c r="J206" s="101">
        <f t="shared" si="29"/>
        <v>-3.8566875779923175</v>
      </c>
      <c r="K206" s="101">
        <f t="shared" si="30"/>
        <v>1.1493390742756127E-4</v>
      </c>
      <c r="L206" s="109" t="str">
        <f t="shared" si="31"/>
        <v>Yes</v>
      </c>
      <c r="M206" s="115">
        <f t="shared" si="32"/>
        <v>0</v>
      </c>
      <c r="N206" s="115">
        <v>0</v>
      </c>
    </row>
    <row r="207" spans="1:14" s="53" customFormat="1" ht="77.25" hidden="1" customHeight="1" thickBot="1" x14ac:dyDescent="0.3">
      <c r="A207" s="53" t="s">
        <v>138</v>
      </c>
      <c r="B207" s="430" t="s">
        <v>171</v>
      </c>
      <c r="C207" s="68" t="s">
        <v>179</v>
      </c>
      <c r="D207" s="78">
        <v>3675</v>
      </c>
      <c r="E207" s="88">
        <v>0.54310000000000003</v>
      </c>
      <c r="F207" s="78">
        <v>2803</v>
      </c>
      <c r="G207" s="88">
        <v>0.52439999999999998</v>
      </c>
      <c r="H207" s="90">
        <f t="shared" si="27"/>
        <v>-1.870000000000005E-2</v>
      </c>
      <c r="I207" s="102">
        <f t="shared" si="28"/>
        <v>1.2509975666788659E-2</v>
      </c>
      <c r="J207" s="102">
        <f t="shared" si="29"/>
        <v>-1.4948070642251206</v>
      </c>
      <c r="K207" s="102">
        <f t="shared" si="30"/>
        <v>0.13496480216827145</v>
      </c>
      <c r="L207" s="109" t="str">
        <f t="shared" si="31"/>
        <v>No</v>
      </c>
      <c r="M207" s="115">
        <f t="shared" si="32"/>
        <v>0</v>
      </c>
      <c r="N207" s="115">
        <v>1</v>
      </c>
    </row>
    <row r="208" spans="1:14" s="60" customFormat="1" ht="77.25" hidden="1" customHeight="1" thickBot="1" x14ac:dyDescent="0.3">
      <c r="B208" s="62"/>
      <c r="C208" s="69" t="s">
        <v>176</v>
      </c>
      <c r="D208" s="79"/>
      <c r="E208" s="89"/>
      <c r="F208" s="79"/>
      <c r="G208" s="89"/>
      <c r="H208" s="93"/>
      <c r="I208" s="103"/>
      <c r="J208" s="103"/>
      <c r="K208" s="103"/>
      <c r="L208" s="110"/>
      <c r="M208" s="116"/>
      <c r="N208" s="116">
        <f>SUM(N202:N207)</f>
        <v>4</v>
      </c>
    </row>
    <row r="209" spans="1:14" s="53" customFormat="1" ht="77.25" hidden="1" customHeight="1" thickBot="1" x14ac:dyDescent="0.3">
      <c r="A209" s="53" t="s">
        <v>139</v>
      </c>
      <c r="B209" s="428" t="s">
        <v>170</v>
      </c>
      <c r="C209" s="67" t="s">
        <v>177</v>
      </c>
      <c r="D209" s="80">
        <v>2113</v>
      </c>
      <c r="E209" s="90">
        <v>0.57689999999999997</v>
      </c>
      <c r="F209" s="80">
        <v>1975</v>
      </c>
      <c r="G209" s="90">
        <v>0.5413</v>
      </c>
      <c r="H209" s="90">
        <f t="shared" si="27"/>
        <v>-3.5599999999999965E-2</v>
      </c>
      <c r="I209" s="100">
        <f t="shared" si="28"/>
        <v>1.5531746522617252E-2</v>
      </c>
      <c r="J209" s="100">
        <f t="shared" si="29"/>
        <v>-2.2920796414079652</v>
      </c>
      <c r="K209" s="100">
        <f t="shared" si="30"/>
        <v>2.1901047944666407E-2</v>
      </c>
      <c r="L209" s="109" t="str">
        <f t="shared" si="31"/>
        <v>Yes</v>
      </c>
      <c r="M209" s="115">
        <f t="shared" si="32"/>
        <v>0</v>
      </c>
      <c r="N209" s="115">
        <v>0</v>
      </c>
    </row>
    <row r="210" spans="1:14" s="53" customFormat="1" ht="77.25" hidden="1" customHeight="1" thickBot="1" x14ac:dyDescent="0.3">
      <c r="A210" s="53" t="s">
        <v>139</v>
      </c>
      <c r="B210" s="429" t="s">
        <v>170</v>
      </c>
      <c r="C210" s="65" t="s">
        <v>178</v>
      </c>
      <c r="D210" s="74">
        <v>2374</v>
      </c>
      <c r="E210" s="84">
        <v>0.61199999999999999</v>
      </c>
      <c r="F210" s="74">
        <v>2279</v>
      </c>
      <c r="G210" s="84">
        <v>0.60199999999999998</v>
      </c>
      <c r="H210" s="90">
        <f t="shared" si="27"/>
        <v>-1.0000000000000009E-2</v>
      </c>
      <c r="I210" s="101">
        <f t="shared" si="28"/>
        <v>1.4323256066663974E-2</v>
      </c>
      <c r="J210" s="101">
        <f t="shared" si="29"/>
        <v>-0.69816527425450869</v>
      </c>
      <c r="K210" s="101">
        <f t="shared" si="30"/>
        <v>0.48507384055962977</v>
      </c>
      <c r="L210" s="109" t="str">
        <f t="shared" si="31"/>
        <v>No</v>
      </c>
      <c r="M210" s="115">
        <f t="shared" si="32"/>
        <v>0</v>
      </c>
      <c r="N210" s="115">
        <v>1</v>
      </c>
    </row>
    <row r="211" spans="1:14" s="53" customFormat="1" ht="77.25" hidden="1" customHeight="1" thickBot="1" x14ac:dyDescent="0.3">
      <c r="A211" s="53" t="s">
        <v>139</v>
      </c>
      <c r="B211" s="430" t="s">
        <v>170</v>
      </c>
      <c r="C211" s="68" t="s">
        <v>179</v>
      </c>
      <c r="D211" s="75">
        <v>2249</v>
      </c>
      <c r="E211" s="85">
        <v>0.62649999999999995</v>
      </c>
      <c r="F211" s="75">
        <v>2108</v>
      </c>
      <c r="G211" s="85">
        <v>0.61909999999999998</v>
      </c>
      <c r="H211" s="90">
        <f t="shared" si="27"/>
        <v>-7.3999999999999622E-3</v>
      </c>
      <c r="I211" s="102">
        <f t="shared" si="28"/>
        <v>1.4693945377432566E-2</v>
      </c>
      <c r="J211" s="102">
        <f t="shared" si="29"/>
        <v>-0.50360878647099916</v>
      </c>
      <c r="K211" s="102">
        <f t="shared" si="30"/>
        <v>0.6145363169386775</v>
      </c>
      <c r="L211" s="109" t="str">
        <f t="shared" si="31"/>
        <v>No</v>
      </c>
      <c r="M211" s="115">
        <f t="shared" si="32"/>
        <v>0</v>
      </c>
      <c r="N211" s="115">
        <v>1</v>
      </c>
    </row>
    <row r="212" spans="1:14" s="53" customFormat="1" ht="77.25" hidden="1" customHeight="1" thickBot="1" x14ac:dyDescent="0.3">
      <c r="A212" s="53" t="s">
        <v>139</v>
      </c>
      <c r="B212" s="428" t="s">
        <v>171</v>
      </c>
      <c r="C212" s="67" t="s">
        <v>177</v>
      </c>
      <c r="D212" s="76">
        <v>2845</v>
      </c>
      <c r="E212" s="86">
        <v>0.49530000000000002</v>
      </c>
      <c r="F212" s="76">
        <v>2768</v>
      </c>
      <c r="G212" s="86">
        <v>0.49819999999999998</v>
      </c>
      <c r="H212" s="90">
        <f t="shared" si="27"/>
        <v>2.8999999999999582E-3</v>
      </c>
      <c r="I212" s="100">
        <f t="shared" si="28"/>
        <v>1.3348499776012407E-2</v>
      </c>
      <c r="J212" s="100">
        <f t="shared" si="29"/>
        <v>0.21725287850034891</v>
      </c>
      <c r="K212" s="100">
        <f t="shared" si="30"/>
        <v>0.82801127753242554</v>
      </c>
      <c r="L212" s="109" t="str">
        <f t="shared" si="31"/>
        <v>No</v>
      </c>
      <c r="M212" s="115">
        <f t="shared" si="32"/>
        <v>1</v>
      </c>
      <c r="N212" s="115">
        <v>1</v>
      </c>
    </row>
    <row r="213" spans="1:14" s="53" customFormat="1" ht="77.25" hidden="1" customHeight="1" thickBot="1" x14ac:dyDescent="0.3">
      <c r="A213" s="53" t="s">
        <v>139</v>
      </c>
      <c r="B213" s="429" t="s">
        <v>171</v>
      </c>
      <c r="C213" s="65" t="s">
        <v>178</v>
      </c>
      <c r="D213" s="77">
        <v>2845</v>
      </c>
      <c r="E213" s="87">
        <v>0.45100000000000001</v>
      </c>
      <c r="F213" s="77">
        <v>2768</v>
      </c>
      <c r="G213" s="87">
        <v>0.44109999999999999</v>
      </c>
      <c r="H213" s="90">
        <f t="shared" si="27"/>
        <v>-9.9000000000000199E-3</v>
      </c>
      <c r="I213" s="101">
        <f t="shared" si="28"/>
        <v>1.3270045864514177E-2</v>
      </c>
      <c r="J213" s="101">
        <f t="shared" si="29"/>
        <v>-0.74604112910219123</v>
      </c>
      <c r="K213" s="101">
        <f t="shared" si="30"/>
        <v>0.45564257016862486</v>
      </c>
      <c r="L213" s="109" t="str">
        <f t="shared" si="31"/>
        <v>No</v>
      </c>
      <c r="M213" s="115">
        <f t="shared" si="32"/>
        <v>0</v>
      </c>
      <c r="N213" s="115">
        <v>1</v>
      </c>
    </row>
    <row r="214" spans="1:14" s="53" customFormat="1" ht="77.25" hidden="1" customHeight="1" thickBot="1" x14ac:dyDescent="0.3">
      <c r="A214" s="53" t="s">
        <v>139</v>
      </c>
      <c r="B214" s="430" t="s">
        <v>171</v>
      </c>
      <c r="C214" s="68" t="s">
        <v>179</v>
      </c>
      <c r="D214" s="78">
        <v>2845</v>
      </c>
      <c r="E214" s="88">
        <v>0.49740000000000001</v>
      </c>
      <c r="F214" s="78">
        <v>2768</v>
      </c>
      <c r="G214" s="88">
        <v>0.51259999999999994</v>
      </c>
      <c r="H214" s="90">
        <f t="shared" si="27"/>
        <v>1.5199999999999936E-2</v>
      </c>
      <c r="I214" s="102">
        <f t="shared" si="28"/>
        <v>1.3346596933293819E-2</v>
      </c>
      <c r="J214" s="102">
        <f t="shared" si="29"/>
        <v>1.1388670891890578</v>
      </c>
      <c r="K214" s="102">
        <f t="shared" si="30"/>
        <v>0.25475859424125158</v>
      </c>
      <c r="L214" s="109" t="str">
        <f t="shared" si="31"/>
        <v>No</v>
      </c>
      <c r="M214" s="115">
        <f t="shared" si="32"/>
        <v>1</v>
      </c>
      <c r="N214" s="115">
        <v>1</v>
      </c>
    </row>
    <row r="215" spans="1:14" s="60" customFormat="1" ht="77.25" hidden="1" customHeight="1" thickBot="1" x14ac:dyDescent="0.3">
      <c r="B215" s="62"/>
      <c r="C215" s="69" t="s">
        <v>176</v>
      </c>
      <c r="D215" s="79"/>
      <c r="E215" s="89"/>
      <c r="F215" s="79"/>
      <c r="G215" s="89"/>
      <c r="H215" s="93"/>
      <c r="I215" s="103"/>
      <c r="J215" s="103"/>
      <c r="K215" s="103"/>
      <c r="L215" s="110"/>
      <c r="M215" s="116"/>
      <c r="N215" s="116">
        <f>SUM(N209:N214)</f>
        <v>5</v>
      </c>
    </row>
    <row r="216" spans="1:14" s="53" customFormat="1" ht="77.25" hidden="1" customHeight="1" thickBot="1" x14ac:dyDescent="0.3">
      <c r="A216" s="53" t="s">
        <v>140</v>
      </c>
      <c r="B216" s="428" t="s">
        <v>170</v>
      </c>
      <c r="C216" s="67" t="s">
        <v>177</v>
      </c>
      <c r="D216" s="80">
        <v>2423</v>
      </c>
      <c r="E216" s="90">
        <v>0.79079999999999995</v>
      </c>
      <c r="F216" s="80">
        <v>2666</v>
      </c>
      <c r="G216" s="90">
        <v>0.79890000000000005</v>
      </c>
      <c r="H216" s="90">
        <f t="shared" si="27"/>
        <v>8.1000000000001071E-3</v>
      </c>
      <c r="I216" s="100">
        <f t="shared" si="28"/>
        <v>1.1337512504091042E-2</v>
      </c>
      <c r="J216" s="100">
        <f t="shared" si="29"/>
        <v>0.71444243144845865</v>
      </c>
      <c r="K216" s="100">
        <f t="shared" si="30"/>
        <v>0.47495364209668578</v>
      </c>
      <c r="L216" s="109" t="str">
        <f t="shared" si="31"/>
        <v>No</v>
      </c>
      <c r="M216" s="115">
        <f t="shared" si="32"/>
        <v>1</v>
      </c>
      <c r="N216" s="115">
        <v>1</v>
      </c>
    </row>
    <row r="217" spans="1:14" s="53" customFormat="1" ht="77.25" hidden="1" customHeight="1" thickBot="1" x14ac:dyDescent="0.3">
      <c r="A217" s="53" t="s">
        <v>140</v>
      </c>
      <c r="B217" s="429" t="s">
        <v>170</v>
      </c>
      <c r="C217" s="65" t="s">
        <v>178</v>
      </c>
      <c r="D217" s="74">
        <v>2515</v>
      </c>
      <c r="E217" s="84">
        <v>0.8044</v>
      </c>
      <c r="F217" s="74">
        <v>2727</v>
      </c>
      <c r="G217" s="84">
        <v>0.81699999999999995</v>
      </c>
      <c r="H217" s="90">
        <f t="shared" si="27"/>
        <v>1.2599999999999945E-2</v>
      </c>
      <c r="I217" s="101">
        <f t="shared" si="28"/>
        <v>1.0834531520759236E-2</v>
      </c>
      <c r="J217" s="101">
        <f t="shared" si="29"/>
        <v>1.1629482987665896</v>
      </c>
      <c r="K217" s="101">
        <f t="shared" si="30"/>
        <v>0.24485047961645567</v>
      </c>
      <c r="L217" s="109" t="str">
        <f t="shared" si="31"/>
        <v>No</v>
      </c>
      <c r="M217" s="115">
        <f t="shared" si="32"/>
        <v>1</v>
      </c>
      <c r="N217" s="115">
        <v>1</v>
      </c>
    </row>
    <row r="218" spans="1:14" s="53" customFormat="1" ht="77.25" hidden="1" customHeight="1" thickBot="1" x14ac:dyDescent="0.3">
      <c r="A218" s="53" t="s">
        <v>140</v>
      </c>
      <c r="B218" s="430" t="s">
        <v>170</v>
      </c>
      <c r="C218" s="68" t="s">
        <v>179</v>
      </c>
      <c r="D218" s="75">
        <v>2627</v>
      </c>
      <c r="E218" s="85">
        <v>0.81769999999999998</v>
      </c>
      <c r="F218" s="75">
        <v>2825</v>
      </c>
      <c r="G218" s="85">
        <v>0.82479999999999998</v>
      </c>
      <c r="H218" s="90">
        <f t="shared" si="27"/>
        <v>7.0999999999999952E-3</v>
      </c>
      <c r="I218" s="102">
        <f t="shared" si="28"/>
        <v>1.0387313547646992E-2</v>
      </c>
      <c r="J218" s="102">
        <f t="shared" si="29"/>
        <v>0.68352610782682466</v>
      </c>
      <c r="K218" s="102">
        <f t="shared" si="30"/>
        <v>0.49427445863748964</v>
      </c>
      <c r="L218" s="109" t="str">
        <f t="shared" si="31"/>
        <v>No</v>
      </c>
      <c r="M218" s="115">
        <f t="shared" si="32"/>
        <v>1</v>
      </c>
      <c r="N218" s="115">
        <v>1</v>
      </c>
    </row>
    <row r="219" spans="1:14" s="53" customFormat="1" ht="77.25" hidden="1" customHeight="1" thickBot="1" x14ac:dyDescent="0.3">
      <c r="A219" s="53" t="s">
        <v>140</v>
      </c>
      <c r="B219" s="428" t="s">
        <v>171</v>
      </c>
      <c r="C219" s="67" t="s">
        <v>177</v>
      </c>
      <c r="D219" s="76">
        <v>2862</v>
      </c>
      <c r="E219" s="86">
        <v>0.38400000000000001</v>
      </c>
      <c r="F219" s="76">
        <v>2982</v>
      </c>
      <c r="G219" s="86">
        <v>0.31759999999999999</v>
      </c>
      <c r="H219" s="90">
        <f t="shared" si="27"/>
        <v>-6.6400000000000015E-2</v>
      </c>
      <c r="I219" s="100">
        <f t="shared" si="28"/>
        <v>1.2463121015748034E-2</v>
      </c>
      <c r="J219" s="100">
        <f t="shared" si="29"/>
        <v>-5.3277184676373537</v>
      </c>
      <c r="K219" s="100">
        <f t="shared" si="30"/>
        <v>9.9454119828479293E-8</v>
      </c>
      <c r="L219" s="109" t="str">
        <f t="shared" si="31"/>
        <v>Yes</v>
      </c>
      <c r="M219" s="115">
        <f t="shared" si="32"/>
        <v>0</v>
      </c>
      <c r="N219" s="115">
        <v>0</v>
      </c>
    </row>
    <row r="220" spans="1:14" s="53" customFormat="1" ht="77.25" hidden="1" customHeight="1" thickBot="1" x14ac:dyDescent="0.3">
      <c r="A220" s="53" t="s">
        <v>140</v>
      </c>
      <c r="B220" s="429" t="s">
        <v>171</v>
      </c>
      <c r="C220" s="65" t="s">
        <v>178</v>
      </c>
      <c r="D220" s="77">
        <v>2862</v>
      </c>
      <c r="E220" s="87">
        <v>0.38540000000000002</v>
      </c>
      <c r="F220" s="77">
        <v>2982</v>
      </c>
      <c r="G220" s="87">
        <v>0.3367</v>
      </c>
      <c r="H220" s="90">
        <f t="shared" si="27"/>
        <v>-4.8700000000000021E-2</v>
      </c>
      <c r="I220" s="101">
        <f t="shared" si="28"/>
        <v>1.2556131164047376E-2</v>
      </c>
      <c r="J220" s="101">
        <f t="shared" si="29"/>
        <v>-3.8785832485921512</v>
      </c>
      <c r="K220" s="101">
        <f t="shared" si="30"/>
        <v>1.0506657228281924E-4</v>
      </c>
      <c r="L220" s="109" t="str">
        <f t="shared" si="31"/>
        <v>Yes</v>
      </c>
      <c r="M220" s="115">
        <f t="shared" si="32"/>
        <v>0</v>
      </c>
      <c r="N220" s="115">
        <v>0</v>
      </c>
    </row>
    <row r="221" spans="1:14" s="53" customFormat="1" ht="77.25" hidden="1" customHeight="1" thickBot="1" x14ac:dyDescent="0.3">
      <c r="A221" s="53" t="s">
        <v>140</v>
      </c>
      <c r="B221" s="430" t="s">
        <v>171</v>
      </c>
      <c r="C221" s="68" t="s">
        <v>179</v>
      </c>
      <c r="D221" s="78">
        <v>2862</v>
      </c>
      <c r="E221" s="88">
        <v>0.31130000000000002</v>
      </c>
      <c r="F221" s="78">
        <v>2982</v>
      </c>
      <c r="G221" s="88">
        <v>0.25819999999999999</v>
      </c>
      <c r="H221" s="90">
        <f t="shared" si="27"/>
        <v>-5.3100000000000036E-2</v>
      </c>
      <c r="I221" s="102">
        <f t="shared" si="28"/>
        <v>1.1795744685495383E-2</v>
      </c>
      <c r="J221" s="102">
        <f t="shared" si="29"/>
        <v>-4.5016233748509631</v>
      </c>
      <c r="K221" s="102">
        <f t="shared" si="30"/>
        <v>6.7436401567366744E-6</v>
      </c>
      <c r="L221" s="109" t="str">
        <f t="shared" si="31"/>
        <v>Yes</v>
      </c>
      <c r="M221" s="115">
        <f t="shared" si="32"/>
        <v>0</v>
      </c>
      <c r="N221" s="115">
        <v>0</v>
      </c>
    </row>
    <row r="222" spans="1:14" s="60" customFormat="1" ht="77.25" hidden="1" customHeight="1" thickBot="1" x14ac:dyDescent="0.3">
      <c r="B222" s="62"/>
      <c r="C222" s="69" t="s">
        <v>176</v>
      </c>
      <c r="D222" s="79"/>
      <c r="E222" s="89"/>
      <c r="F222" s="79"/>
      <c r="G222" s="89"/>
      <c r="H222" s="93"/>
      <c r="I222" s="103"/>
      <c r="J222" s="103"/>
      <c r="K222" s="103"/>
      <c r="L222" s="110"/>
      <c r="M222" s="116"/>
      <c r="N222" s="116">
        <f>SUM(N216:N221)</f>
        <v>3</v>
      </c>
    </row>
    <row r="223" spans="1:14" s="53" customFormat="1" ht="77.25" hidden="1" customHeight="1" thickBot="1" x14ac:dyDescent="0.3">
      <c r="A223" s="53" t="s">
        <v>141</v>
      </c>
      <c r="B223" s="428" t="s">
        <v>170</v>
      </c>
      <c r="C223" s="67" t="s">
        <v>177</v>
      </c>
      <c r="D223" s="80">
        <v>16</v>
      </c>
      <c r="E223" s="90">
        <v>0.8125</v>
      </c>
      <c r="F223" s="80">
        <v>6</v>
      </c>
      <c r="G223" s="90">
        <v>0.5</v>
      </c>
      <c r="H223" s="90">
        <f t="shared" si="27"/>
        <v>-0.3125</v>
      </c>
      <c r="I223" s="100">
        <f t="shared" si="28"/>
        <v>0.22624798571847365</v>
      </c>
      <c r="J223" s="100">
        <f t="shared" si="29"/>
        <v>-1.3812277665483927</v>
      </c>
      <c r="K223" s="100">
        <f t="shared" si="30"/>
        <v>0.16720893987809782</v>
      </c>
      <c r="L223" s="109" t="str">
        <f t="shared" si="31"/>
        <v>No</v>
      </c>
      <c r="M223" s="115">
        <f t="shared" si="32"/>
        <v>0</v>
      </c>
      <c r="N223" s="115">
        <v>1</v>
      </c>
    </row>
    <row r="224" spans="1:14" s="53" customFormat="1" ht="77.25" hidden="1" customHeight="1" thickBot="1" x14ac:dyDescent="0.3">
      <c r="A224" s="53" t="s">
        <v>141</v>
      </c>
      <c r="B224" s="429" t="s">
        <v>170</v>
      </c>
      <c r="C224" s="65" t="s">
        <v>178</v>
      </c>
      <c r="D224" s="74">
        <v>22</v>
      </c>
      <c r="E224" s="84">
        <v>0.72729999999999995</v>
      </c>
      <c r="F224" s="74">
        <v>16</v>
      </c>
      <c r="G224" s="84">
        <v>0.8125</v>
      </c>
      <c r="H224" s="90">
        <f t="shared" si="27"/>
        <v>8.5200000000000053E-2</v>
      </c>
      <c r="I224" s="101">
        <f t="shared" si="28"/>
        <v>0.13614954449394642</v>
      </c>
      <c r="J224" s="101">
        <f t="shared" si="29"/>
        <v>0.62578248290642113</v>
      </c>
      <c r="K224" s="101">
        <f t="shared" si="30"/>
        <v>0.53145762301132526</v>
      </c>
      <c r="L224" s="109" t="str">
        <f t="shared" si="31"/>
        <v>No</v>
      </c>
      <c r="M224" s="115">
        <f t="shared" si="32"/>
        <v>1</v>
      </c>
      <c r="N224" s="115">
        <v>1</v>
      </c>
    </row>
    <row r="225" spans="1:14" s="53" customFormat="1" ht="77.25" hidden="1" customHeight="1" thickBot="1" x14ac:dyDescent="0.3">
      <c r="A225" s="53" t="s">
        <v>141</v>
      </c>
      <c r="B225" s="430" t="s">
        <v>170</v>
      </c>
      <c r="C225" s="68" t="s">
        <v>179</v>
      </c>
      <c r="D225" s="75">
        <v>14</v>
      </c>
      <c r="E225" s="85">
        <v>0.64290000000000003</v>
      </c>
      <c r="F225" s="75">
        <v>13</v>
      </c>
      <c r="G225" s="85">
        <v>0.92310000000000003</v>
      </c>
      <c r="H225" s="90">
        <f t="shared" si="27"/>
        <v>0.2802</v>
      </c>
      <c r="I225" s="102">
        <f t="shared" si="28"/>
        <v>0.14784800871610912</v>
      </c>
      <c r="J225" s="102">
        <f t="shared" si="29"/>
        <v>1.8951895425120471</v>
      </c>
      <c r="K225" s="102">
        <f t="shared" si="30"/>
        <v>5.8067295092386617E-2</v>
      </c>
      <c r="L225" s="109" t="str">
        <f t="shared" si="31"/>
        <v>No</v>
      </c>
      <c r="M225" s="115">
        <f t="shared" si="32"/>
        <v>1</v>
      </c>
      <c r="N225" s="115">
        <v>1</v>
      </c>
    </row>
    <row r="226" spans="1:14" s="53" customFormat="1" ht="77.25" hidden="1" customHeight="1" thickBot="1" x14ac:dyDescent="0.3">
      <c r="A226" s="53" t="s">
        <v>141</v>
      </c>
      <c r="B226" s="428" t="s">
        <v>171</v>
      </c>
      <c r="C226" s="67" t="s">
        <v>177</v>
      </c>
      <c r="D226" s="76">
        <v>22</v>
      </c>
      <c r="E226" s="86">
        <v>0.59089999999999998</v>
      </c>
      <c r="F226" s="76">
        <v>18</v>
      </c>
      <c r="G226" s="86">
        <v>0.77780000000000005</v>
      </c>
      <c r="H226" s="90">
        <f t="shared" si="27"/>
        <v>0.18690000000000007</v>
      </c>
      <c r="I226" s="100">
        <f t="shared" si="28"/>
        <v>0.14349063725483269</v>
      </c>
      <c r="J226" s="100">
        <f t="shared" si="29"/>
        <v>1.3025240083649108</v>
      </c>
      <c r="K226" s="100">
        <f t="shared" si="30"/>
        <v>0.19273731625788049</v>
      </c>
      <c r="L226" s="109" t="str">
        <f t="shared" si="31"/>
        <v>No</v>
      </c>
      <c r="M226" s="115">
        <f t="shared" si="32"/>
        <v>1</v>
      </c>
      <c r="N226" s="115">
        <v>1</v>
      </c>
    </row>
    <row r="227" spans="1:14" s="53" customFormat="1" ht="77.25" hidden="1" customHeight="1" thickBot="1" x14ac:dyDescent="0.3">
      <c r="A227" s="53" t="s">
        <v>141</v>
      </c>
      <c r="B227" s="429" t="s">
        <v>171</v>
      </c>
      <c r="C227" s="65" t="s">
        <v>178</v>
      </c>
      <c r="D227" s="77">
        <v>22</v>
      </c>
      <c r="E227" s="87">
        <v>0.36359999999999998</v>
      </c>
      <c r="F227" s="77">
        <v>18</v>
      </c>
      <c r="G227" s="87">
        <v>0.66669999999999996</v>
      </c>
      <c r="H227" s="90">
        <f t="shared" si="27"/>
        <v>0.30309999999999998</v>
      </c>
      <c r="I227" s="101">
        <f t="shared" si="28"/>
        <v>0.15120521826412947</v>
      </c>
      <c r="J227" s="101">
        <f t="shared" si="29"/>
        <v>2.0045604475801655</v>
      </c>
      <c r="K227" s="101">
        <f t="shared" si="30"/>
        <v>4.5010058608139669E-2</v>
      </c>
      <c r="L227" s="109" t="str">
        <f t="shared" si="31"/>
        <v>Yes</v>
      </c>
      <c r="M227" s="115">
        <f t="shared" si="32"/>
        <v>1</v>
      </c>
      <c r="N227" s="115">
        <v>2</v>
      </c>
    </row>
    <row r="228" spans="1:14" s="53" customFormat="1" ht="77.25" hidden="1" customHeight="1" thickBot="1" x14ac:dyDescent="0.3">
      <c r="A228" s="53" t="s">
        <v>141</v>
      </c>
      <c r="B228" s="430" t="s">
        <v>171</v>
      </c>
      <c r="C228" s="68" t="s">
        <v>179</v>
      </c>
      <c r="D228" s="78">
        <v>22</v>
      </c>
      <c r="E228" s="88">
        <v>0.54549999999999998</v>
      </c>
      <c r="F228" s="78">
        <v>18</v>
      </c>
      <c r="G228" s="88">
        <v>0.61109999999999998</v>
      </c>
      <c r="H228" s="90">
        <f t="shared" si="27"/>
        <v>6.5599999999999992E-2</v>
      </c>
      <c r="I228" s="102">
        <f t="shared" si="28"/>
        <v>0.15643749259978917</v>
      </c>
      <c r="J228" s="102">
        <f t="shared" si="29"/>
        <v>0.41933681568153952</v>
      </c>
      <c r="K228" s="102">
        <f t="shared" si="30"/>
        <v>0.67496999409236924</v>
      </c>
      <c r="L228" s="109" t="str">
        <f t="shared" si="31"/>
        <v>No</v>
      </c>
      <c r="M228" s="115">
        <f t="shared" si="32"/>
        <v>1</v>
      </c>
      <c r="N228" s="115">
        <v>1</v>
      </c>
    </row>
    <row r="229" spans="1:14" s="60" customFormat="1" ht="77.25" hidden="1" customHeight="1" thickBot="1" x14ac:dyDescent="0.3">
      <c r="B229" s="62"/>
      <c r="C229" s="69" t="s">
        <v>176</v>
      </c>
      <c r="D229" s="79"/>
      <c r="E229" s="89"/>
      <c r="F229" s="79"/>
      <c r="G229" s="89"/>
      <c r="H229" s="93"/>
      <c r="I229" s="103"/>
      <c r="J229" s="103"/>
      <c r="K229" s="103"/>
      <c r="L229" s="110"/>
      <c r="M229" s="116"/>
      <c r="N229" s="116">
        <f>SUM(N223:N228)</f>
        <v>7</v>
      </c>
    </row>
    <row r="230" spans="1:14" s="53" customFormat="1" ht="77.25" hidden="1" customHeight="1" thickBot="1" x14ac:dyDescent="0.3">
      <c r="A230" s="53" t="s">
        <v>142</v>
      </c>
      <c r="B230" s="428" t="s">
        <v>170</v>
      </c>
      <c r="C230" s="67" t="s">
        <v>177</v>
      </c>
      <c r="D230" s="80">
        <v>782</v>
      </c>
      <c r="E230" s="90">
        <v>0.88239999999999996</v>
      </c>
      <c r="F230" s="80">
        <v>797</v>
      </c>
      <c r="G230" s="90">
        <v>0.84689999999999999</v>
      </c>
      <c r="H230" s="90">
        <f t="shared" si="27"/>
        <v>-3.5499999999999976E-2</v>
      </c>
      <c r="I230" s="100">
        <f t="shared" si="28"/>
        <v>1.7186741255043967E-2</v>
      </c>
      <c r="J230" s="100">
        <f t="shared" si="29"/>
        <v>-2.0655457293034787</v>
      </c>
      <c r="K230" s="100">
        <f t="shared" si="30"/>
        <v>3.8871393375102814E-2</v>
      </c>
      <c r="L230" s="109" t="str">
        <f t="shared" si="31"/>
        <v>Yes</v>
      </c>
      <c r="M230" s="115">
        <f t="shared" si="32"/>
        <v>0</v>
      </c>
      <c r="N230" s="115">
        <v>0</v>
      </c>
    </row>
    <row r="231" spans="1:14" s="53" customFormat="1" ht="77.25" hidden="1" customHeight="1" thickBot="1" x14ac:dyDescent="0.3">
      <c r="A231" s="53" t="s">
        <v>142</v>
      </c>
      <c r="B231" s="429" t="s">
        <v>170</v>
      </c>
      <c r="C231" s="65" t="s">
        <v>178</v>
      </c>
      <c r="D231" s="74">
        <v>759</v>
      </c>
      <c r="E231" s="84">
        <v>0.86299999999999999</v>
      </c>
      <c r="F231" s="74">
        <v>784</v>
      </c>
      <c r="G231" s="84">
        <v>0.84179999999999999</v>
      </c>
      <c r="H231" s="90">
        <f t="shared" si="27"/>
        <v>-2.1199999999999997E-2</v>
      </c>
      <c r="I231" s="101">
        <f t="shared" si="28"/>
        <v>1.8045367350012945E-2</v>
      </c>
      <c r="J231" s="101">
        <f t="shared" si="29"/>
        <v>-1.1748167598253292</v>
      </c>
      <c r="K231" s="101">
        <f t="shared" si="30"/>
        <v>0.24006803345890315</v>
      </c>
      <c r="L231" s="109" t="str">
        <f t="shared" si="31"/>
        <v>No</v>
      </c>
      <c r="M231" s="115">
        <f t="shared" si="32"/>
        <v>0</v>
      </c>
      <c r="N231" s="115">
        <v>1</v>
      </c>
    </row>
    <row r="232" spans="1:14" s="53" customFormat="1" ht="77.25" hidden="1" customHeight="1" thickBot="1" x14ac:dyDescent="0.3">
      <c r="A232" s="53" t="s">
        <v>142</v>
      </c>
      <c r="B232" s="430" t="s">
        <v>170</v>
      </c>
      <c r="C232" s="68" t="s">
        <v>179</v>
      </c>
      <c r="D232" s="75">
        <v>826</v>
      </c>
      <c r="E232" s="85">
        <v>0.86199999999999999</v>
      </c>
      <c r="F232" s="75">
        <v>851</v>
      </c>
      <c r="G232" s="85">
        <v>0.84250000000000003</v>
      </c>
      <c r="H232" s="90">
        <f t="shared" si="27"/>
        <v>-1.9499999999999962E-2</v>
      </c>
      <c r="I232" s="102">
        <f t="shared" si="28"/>
        <v>1.7318815739213914E-2</v>
      </c>
      <c r="J232" s="102">
        <f t="shared" si="29"/>
        <v>-1.1259430375396471</v>
      </c>
      <c r="K232" s="102">
        <f t="shared" si="30"/>
        <v>0.26018963097573389</v>
      </c>
      <c r="L232" s="109" t="str">
        <f t="shared" si="31"/>
        <v>No</v>
      </c>
      <c r="M232" s="115">
        <f t="shared" si="32"/>
        <v>0</v>
      </c>
      <c r="N232" s="115">
        <v>1</v>
      </c>
    </row>
    <row r="233" spans="1:14" s="53" customFormat="1" ht="77.25" hidden="1" customHeight="1" thickBot="1" x14ac:dyDescent="0.3">
      <c r="A233" s="53" t="s">
        <v>142</v>
      </c>
      <c r="B233" s="428" t="s">
        <v>171</v>
      </c>
      <c r="C233" s="67" t="s">
        <v>177</v>
      </c>
      <c r="D233" s="76">
        <v>1109</v>
      </c>
      <c r="E233" s="86">
        <v>0.63480000000000003</v>
      </c>
      <c r="F233" s="76">
        <v>1162</v>
      </c>
      <c r="G233" s="86">
        <v>0.64459999999999995</v>
      </c>
      <c r="H233" s="90">
        <f t="shared" si="27"/>
        <v>9.7999999999999199E-3</v>
      </c>
      <c r="I233" s="100">
        <f t="shared" si="28"/>
        <v>2.0154290661150081E-2</v>
      </c>
      <c r="J233" s="100">
        <f t="shared" si="29"/>
        <v>0.48624881742380777</v>
      </c>
      <c r="K233" s="100">
        <f t="shared" si="30"/>
        <v>0.6267907632215004</v>
      </c>
      <c r="L233" s="109" t="str">
        <f t="shared" si="31"/>
        <v>No</v>
      </c>
      <c r="M233" s="115">
        <f t="shared" si="32"/>
        <v>1</v>
      </c>
      <c r="N233" s="115">
        <v>1</v>
      </c>
    </row>
    <row r="234" spans="1:14" s="53" customFormat="1" ht="77.25" hidden="1" customHeight="1" thickBot="1" x14ac:dyDescent="0.3">
      <c r="A234" s="53" t="s">
        <v>142</v>
      </c>
      <c r="B234" s="429" t="s">
        <v>171</v>
      </c>
      <c r="C234" s="65" t="s">
        <v>178</v>
      </c>
      <c r="D234" s="77">
        <v>1109</v>
      </c>
      <c r="E234" s="87">
        <v>0.63480000000000003</v>
      </c>
      <c r="F234" s="77">
        <v>1162</v>
      </c>
      <c r="G234" s="87">
        <v>0.62649999999999995</v>
      </c>
      <c r="H234" s="90">
        <f t="shared" si="27"/>
        <v>-8.3000000000000851E-3</v>
      </c>
      <c r="I234" s="101">
        <f t="shared" si="28"/>
        <v>2.0258781951729445E-2</v>
      </c>
      <c r="J234" s="101">
        <f t="shared" si="29"/>
        <v>-0.4096988663867589</v>
      </c>
      <c r="K234" s="101">
        <f t="shared" si="30"/>
        <v>0.68202686175314886</v>
      </c>
      <c r="L234" s="109" t="str">
        <f t="shared" si="31"/>
        <v>No</v>
      </c>
      <c r="M234" s="115">
        <f t="shared" si="32"/>
        <v>0</v>
      </c>
      <c r="N234" s="115">
        <v>1</v>
      </c>
    </row>
    <row r="235" spans="1:14" s="53" customFormat="1" ht="77.25" hidden="1" customHeight="1" thickBot="1" x14ac:dyDescent="0.3">
      <c r="A235" s="53" t="s">
        <v>142</v>
      </c>
      <c r="B235" s="430" t="s">
        <v>171</v>
      </c>
      <c r="C235" s="68" t="s">
        <v>179</v>
      </c>
      <c r="D235" s="78">
        <v>1109</v>
      </c>
      <c r="E235" s="88">
        <v>0.62580000000000002</v>
      </c>
      <c r="F235" s="78">
        <v>1162</v>
      </c>
      <c r="G235" s="88">
        <v>0.61360000000000003</v>
      </c>
      <c r="H235" s="90">
        <f t="shared" si="27"/>
        <v>-1.2199999999999989E-2</v>
      </c>
      <c r="I235" s="102">
        <f t="shared" si="28"/>
        <v>2.0376422805883764E-2</v>
      </c>
      <c r="J235" s="102">
        <f t="shared" si="29"/>
        <v>-0.59873119615859149</v>
      </c>
      <c r="K235" s="102">
        <f t="shared" si="30"/>
        <v>0.54935215053484376</v>
      </c>
      <c r="L235" s="109" t="str">
        <f t="shared" si="31"/>
        <v>No</v>
      </c>
      <c r="M235" s="115">
        <f t="shared" si="32"/>
        <v>0</v>
      </c>
      <c r="N235" s="115">
        <v>1</v>
      </c>
    </row>
    <row r="236" spans="1:14" s="60" customFormat="1" ht="77.25" hidden="1" customHeight="1" thickBot="1" x14ac:dyDescent="0.3">
      <c r="B236" s="62"/>
      <c r="C236" s="69" t="s">
        <v>176</v>
      </c>
      <c r="D236" s="79"/>
      <c r="E236" s="89"/>
      <c r="F236" s="79"/>
      <c r="G236" s="89"/>
      <c r="H236" s="93"/>
      <c r="I236" s="103"/>
      <c r="J236" s="103"/>
      <c r="K236" s="103"/>
      <c r="L236" s="110"/>
      <c r="M236" s="116"/>
      <c r="N236" s="116">
        <f>SUM(N230:N235)</f>
        <v>5</v>
      </c>
    </row>
    <row r="237" spans="1:14" s="53" customFormat="1" ht="77.25" hidden="1" customHeight="1" thickBot="1" x14ac:dyDescent="0.3">
      <c r="A237" s="53" t="s">
        <v>143</v>
      </c>
      <c r="B237" s="428" t="s">
        <v>170</v>
      </c>
      <c r="C237" s="67" t="s">
        <v>177</v>
      </c>
      <c r="D237" s="80">
        <v>258</v>
      </c>
      <c r="E237" s="90">
        <v>0.63180000000000003</v>
      </c>
      <c r="F237" s="80">
        <v>413</v>
      </c>
      <c r="G237" s="90">
        <v>0.71909999999999996</v>
      </c>
      <c r="H237" s="90">
        <f t="shared" si="27"/>
        <v>8.7299999999999933E-2</v>
      </c>
      <c r="I237" s="100">
        <f t="shared" si="28"/>
        <v>3.7292818748369941E-2</v>
      </c>
      <c r="J237" s="100">
        <f t="shared" si="29"/>
        <v>2.3409332662421982</v>
      </c>
      <c r="K237" s="100">
        <f t="shared" si="30"/>
        <v>1.9235604999607192E-2</v>
      </c>
      <c r="L237" s="109" t="str">
        <f t="shared" si="31"/>
        <v>Yes</v>
      </c>
      <c r="M237" s="115">
        <f t="shared" si="32"/>
        <v>1</v>
      </c>
      <c r="N237" s="115">
        <v>2</v>
      </c>
    </row>
    <row r="238" spans="1:14" s="53" customFormat="1" ht="77.25" hidden="1" customHeight="1" thickBot="1" x14ac:dyDescent="0.3">
      <c r="A238" s="53" t="s">
        <v>143</v>
      </c>
      <c r="B238" s="429" t="s">
        <v>170</v>
      </c>
      <c r="C238" s="65" t="s">
        <v>178</v>
      </c>
      <c r="D238" s="74">
        <v>287</v>
      </c>
      <c r="E238" s="84">
        <v>0.63759999999999994</v>
      </c>
      <c r="F238" s="74">
        <v>482</v>
      </c>
      <c r="G238" s="84">
        <v>0.71989999999999998</v>
      </c>
      <c r="H238" s="90">
        <f t="shared" si="27"/>
        <v>8.230000000000004E-2</v>
      </c>
      <c r="I238" s="101">
        <f t="shared" si="28"/>
        <v>3.497795558841555E-2</v>
      </c>
      <c r="J238" s="101">
        <f t="shared" si="29"/>
        <v>2.3529105293751704</v>
      </c>
      <c r="K238" s="101">
        <f t="shared" si="30"/>
        <v>1.8627115419608264E-2</v>
      </c>
      <c r="L238" s="109" t="str">
        <f t="shared" si="31"/>
        <v>Yes</v>
      </c>
      <c r="M238" s="115">
        <f t="shared" si="32"/>
        <v>1</v>
      </c>
      <c r="N238" s="115">
        <v>2</v>
      </c>
    </row>
    <row r="239" spans="1:14" s="53" customFormat="1" ht="77.25" hidden="1" customHeight="1" thickBot="1" x14ac:dyDescent="0.3">
      <c r="A239" s="53" t="s">
        <v>143</v>
      </c>
      <c r="B239" s="430" t="s">
        <v>170</v>
      </c>
      <c r="C239" s="68" t="s">
        <v>179</v>
      </c>
      <c r="D239" s="75">
        <v>260</v>
      </c>
      <c r="E239" s="85">
        <v>0.66920000000000002</v>
      </c>
      <c r="F239" s="75">
        <v>414</v>
      </c>
      <c r="G239" s="85">
        <v>0.72709999999999997</v>
      </c>
      <c r="H239" s="90">
        <f t="shared" si="27"/>
        <v>5.7899999999999952E-2</v>
      </c>
      <c r="I239" s="102">
        <f t="shared" si="28"/>
        <v>3.6478996318794289E-2</v>
      </c>
      <c r="J239" s="102">
        <f t="shared" si="29"/>
        <v>1.5872147219732955</v>
      </c>
      <c r="K239" s="102">
        <f t="shared" si="30"/>
        <v>0.11246402156976743</v>
      </c>
      <c r="L239" s="109" t="str">
        <f t="shared" si="31"/>
        <v>No</v>
      </c>
      <c r="M239" s="115">
        <f t="shared" si="32"/>
        <v>1</v>
      </c>
      <c r="N239" s="115">
        <v>1</v>
      </c>
    </row>
    <row r="240" spans="1:14" s="53" customFormat="1" ht="77.25" hidden="1" customHeight="1" thickBot="1" x14ac:dyDescent="0.3">
      <c r="A240" s="53" t="s">
        <v>143</v>
      </c>
      <c r="B240" s="428" t="s">
        <v>171</v>
      </c>
      <c r="C240" s="67" t="s">
        <v>177</v>
      </c>
      <c r="D240" s="76">
        <v>322</v>
      </c>
      <c r="E240" s="86">
        <v>0.50309999999999999</v>
      </c>
      <c r="F240" s="76">
        <v>549</v>
      </c>
      <c r="G240" s="86">
        <v>0.63019999999999998</v>
      </c>
      <c r="H240" s="90">
        <f t="shared" si="27"/>
        <v>0.12709999999999999</v>
      </c>
      <c r="I240" s="100">
        <f t="shared" si="28"/>
        <v>3.4653470882635214E-2</v>
      </c>
      <c r="J240" s="100">
        <f t="shared" si="29"/>
        <v>3.6677422711988585</v>
      </c>
      <c r="K240" s="100">
        <f t="shared" si="30"/>
        <v>2.4470165221046614E-4</v>
      </c>
      <c r="L240" s="109" t="str">
        <f t="shared" si="31"/>
        <v>Yes</v>
      </c>
      <c r="M240" s="115">
        <f t="shared" si="32"/>
        <v>1</v>
      </c>
      <c r="N240" s="115">
        <v>2</v>
      </c>
    </row>
    <row r="241" spans="1:14" s="53" customFormat="1" ht="77.25" hidden="1" customHeight="1" thickBot="1" x14ac:dyDescent="0.3">
      <c r="A241" s="53" t="s">
        <v>143</v>
      </c>
      <c r="B241" s="429" t="s">
        <v>171</v>
      </c>
      <c r="C241" s="65" t="s">
        <v>178</v>
      </c>
      <c r="D241" s="77">
        <v>322</v>
      </c>
      <c r="E241" s="87">
        <v>0.4224</v>
      </c>
      <c r="F241" s="77">
        <v>549</v>
      </c>
      <c r="G241" s="87">
        <v>0.55740000000000001</v>
      </c>
      <c r="H241" s="90">
        <f t="shared" si="27"/>
        <v>0.13500000000000001</v>
      </c>
      <c r="I241" s="101">
        <f t="shared" si="28"/>
        <v>3.4742890198909061E-2</v>
      </c>
      <c r="J241" s="101">
        <f t="shared" si="29"/>
        <v>3.8856870924411191</v>
      </c>
      <c r="K241" s="101">
        <f t="shared" si="30"/>
        <v>1.0204087129350725E-4</v>
      </c>
      <c r="L241" s="109" t="str">
        <f t="shared" si="31"/>
        <v>Yes</v>
      </c>
      <c r="M241" s="115">
        <f t="shared" si="32"/>
        <v>1</v>
      </c>
      <c r="N241" s="115">
        <v>2</v>
      </c>
    </row>
    <row r="242" spans="1:14" s="53" customFormat="1" ht="77.25" hidden="1" customHeight="1" thickBot="1" x14ac:dyDescent="0.3">
      <c r="A242" s="53" t="s">
        <v>143</v>
      </c>
      <c r="B242" s="430" t="s">
        <v>171</v>
      </c>
      <c r="C242" s="68" t="s">
        <v>179</v>
      </c>
      <c r="D242" s="78">
        <v>322</v>
      </c>
      <c r="E242" s="88">
        <v>0.49070000000000003</v>
      </c>
      <c r="F242" s="78">
        <v>549</v>
      </c>
      <c r="G242" s="88">
        <v>0.64480000000000004</v>
      </c>
      <c r="H242" s="90">
        <f t="shared" si="27"/>
        <v>0.15410000000000001</v>
      </c>
      <c r="I242" s="102">
        <f t="shared" si="28"/>
        <v>3.4544333682186006E-2</v>
      </c>
      <c r="J242" s="102">
        <f t="shared" si="29"/>
        <v>4.460934213342985</v>
      </c>
      <c r="K242" s="102">
        <f t="shared" si="30"/>
        <v>8.1603139781005751E-6</v>
      </c>
      <c r="L242" s="109" t="str">
        <f t="shared" si="31"/>
        <v>Yes</v>
      </c>
      <c r="M242" s="115">
        <f t="shared" si="32"/>
        <v>1</v>
      </c>
      <c r="N242" s="115">
        <v>2</v>
      </c>
    </row>
    <row r="243" spans="1:14" s="60" customFormat="1" ht="77.25" hidden="1" customHeight="1" thickBot="1" x14ac:dyDescent="0.3">
      <c r="B243" s="62"/>
      <c r="C243" s="69" t="s">
        <v>176</v>
      </c>
      <c r="D243" s="79"/>
      <c r="E243" s="89"/>
      <c r="F243" s="79"/>
      <c r="G243" s="89"/>
      <c r="H243" s="93"/>
      <c r="I243" s="103"/>
      <c r="J243" s="103"/>
      <c r="K243" s="103"/>
      <c r="L243" s="110"/>
      <c r="M243" s="116"/>
      <c r="N243" s="116">
        <f>SUM(N237:N242)</f>
        <v>11</v>
      </c>
    </row>
    <row r="244" spans="1:14" s="53" customFormat="1" ht="77.25" hidden="1" customHeight="1" thickBot="1" x14ac:dyDescent="0.3">
      <c r="A244" s="53" t="s">
        <v>144</v>
      </c>
      <c r="B244" s="428" t="s">
        <v>170</v>
      </c>
      <c r="C244" s="67" t="s">
        <v>177</v>
      </c>
      <c r="D244" s="80">
        <v>4510</v>
      </c>
      <c r="E244" s="90">
        <v>0.71909999999999996</v>
      </c>
      <c r="F244" s="80">
        <v>4339</v>
      </c>
      <c r="G244" s="90">
        <v>0.73129999999999995</v>
      </c>
      <c r="H244" s="90">
        <f t="shared" si="27"/>
        <v>1.2199999999999989E-2</v>
      </c>
      <c r="I244" s="100">
        <f t="shared" si="28"/>
        <v>9.4908005133173771E-3</v>
      </c>
      <c r="J244" s="100">
        <f t="shared" si="29"/>
        <v>1.2854553188512492</v>
      </c>
      <c r="K244" s="100">
        <f t="shared" si="30"/>
        <v>0.19863322084250834</v>
      </c>
      <c r="L244" s="109" t="str">
        <f t="shared" si="31"/>
        <v>No</v>
      </c>
      <c r="M244" s="115">
        <f t="shared" si="32"/>
        <v>1</v>
      </c>
      <c r="N244" s="115">
        <v>1</v>
      </c>
    </row>
    <row r="245" spans="1:14" s="53" customFormat="1" ht="77.25" hidden="1" customHeight="1" thickBot="1" x14ac:dyDescent="0.3">
      <c r="A245" s="53" t="s">
        <v>144</v>
      </c>
      <c r="B245" s="429" t="s">
        <v>170</v>
      </c>
      <c r="C245" s="65" t="s">
        <v>178</v>
      </c>
      <c r="D245" s="74">
        <v>5742</v>
      </c>
      <c r="E245" s="84">
        <v>0.7903</v>
      </c>
      <c r="F245" s="74">
        <v>5529</v>
      </c>
      <c r="G245" s="84">
        <v>0.78800000000000003</v>
      </c>
      <c r="H245" s="90">
        <f t="shared" si="27"/>
        <v>-2.2999999999999687E-3</v>
      </c>
      <c r="I245" s="101">
        <f t="shared" si="28"/>
        <v>7.6861276743910361E-3</v>
      </c>
      <c r="J245" s="101">
        <f t="shared" si="29"/>
        <v>-0.29924041044272598</v>
      </c>
      <c r="K245" s="101">
        <f t="shared" si="30"/>
        <v>0.76475661799069306</v>
      </c>
      <c r="L245" s="109" t="str">
        <f t="shared" si="31"/>
        <v>No</v>
      </c>
      <c r="M245" s="115">
        <f t="shared" si="32"/>
        <v>0</v>
      </c>
      <c r="N245" s="115">
        <v>1</v>
      </c>
    </row>
    <row r="246" spans="1:14" s="53" customFormat="1" ht="77.25" hidden="1" customHeight="1" thickBot="1" x14ac:dyDescent="0.3">
      <c r="A246" s="53" t="s">
        <v>144</v>
      </c>
      <c r="B246" s="430" t="s">
        <v>170</v>
      </c>
      <c r="C246" s="68" t="s">
        <v>179</v>
      </c>
      <c r="D246" s="75">
        <v>5417</v>
      </c>
      <c r="E246" s="85">
        <v>0.78349999999999997</v>
      </c>
      <c r="F246" s="75">
        <v>5203</v>
      </c>
      <c r="G246" s="85">
        <v>0.78939999999999999</v>
      </c>
      <c r="H246" s="90">
        <f t="shared" si="27"/>
        <v>5.9000000000000163E-3</v>
      </c>
      <c r="I246" s="102">
        <f t="shared" si="28"/>
        <v>7.9540072475971398E-3</v>
      </c>
      <c r="J246" s="102">
        <f t="shared" si="29"/>
        <v>0.74176447372264753</v>
      </c>
      <c r="K246" s="102">
        <f t="shared" si="30"/>
        <v>0.45823004871875894</v>
      </c>
      <c r="L246" s="109" t="str">
        <f t="shared" si="31"/>
        <v>No</v>
      </c>
      <c r="M246" s="115">
        <f t="shared" si="32"/>
        <v>1</v>
      </c>
      <c r="N246" s="115">
        <v>1</v>
      </c>
    </row>
    <row r="247" spans="1:14" s="53" customFormat="1" ht="77.25" hidden="1" customHeight="1" thickBot="1" x14ac:dyDescent="0.3">
      <c r="A247" s="53" t="s">
        <v>144</v>
      </c>
      <c r="B247" s="428" t="s">
        <v>171</v>
      </c>
      <c r="C247" s="67" t="s">
        <v>177</v>
      </c>
      <c r="D247" s="76">
        <v>6477</v>
      </c>
      <c r="E247" s="86">
        <v>0.61970000000000003</v>
      </c>
      <c r="F247" s="76">
        <v>6250</v>
      </c>
      <c r="G247" s="86">
        <v>0.62590000000000001</v>
      </c>
      <c r="H247" s="90">
        <f t="shared" si="27"/>
        <v>6.1999999999999833E-3</v>
      </c>
      <c r="I247" s="100">
        <f t="shared" si="28"/>
        <v>8.5935928265654573E-3</v>
      </c>
      <c r="J247" s="100">
        <f t="shared" si="29"/>
        <v>0.72146774057456653</v>
      </c>
      <c r="K247" s="100">
        <f t="shared" si="30"/>
        <v>0.47062178164122903</v>
      </c>
      <c r="L247" s="109" t="str">
        <f t="shared" si="31"/>
        <v>No</v>
      </c>
      <c r="M247" s="115">
        <f t="shared" si="32"/>
        <v>1</v>
      </c>
      <c r="N247" s="115">
        <v>1</v>
      </c>
    </row>
    <row r="248" spans="1:14" s="53" customFormat="1" ht="77.25" hidden="1" customHeight="1" thickBot="1" x14ac:dyDescent="0.3">
      <c r="A248" s="53" t="s">
        <v>144</v>
      </c>
      <c r="B248" s="429" t="s">
        <v>171</v>
      </c>
      <c r="C248" s="65" t="s">
        <v>178</v>
      </c>
      <c r="D248" s="77">
        <v>6477</v>
      </c>
      <c r="E248" s="87">
        <v>0.5333</v>
      </c>
      <c r="F248" s="77">
        <v>6250</v>
      </c>
      <c r="G248" s="87">
        <v>0.53790000000000004</v>
      </c>
      <c r="H248" s="90">
        <f t="shared" si="27"/>
        <v>4.6000000000000485E-3</v>
      </c>
      <c r="I248" s="101">
        <f t="shared" si="28"/>
        <v>8.8429116557097332E-3</v>
      </c>
      <c r="J248" s="101">
        <f t="shared" si="29"/>
        <v>0.520190654288613</v>
      </c>
      <c r="K248" s="101">
        <f t="shared" si="30"/>
        <v>0.60293069849734016</v>
      </c>
      <c r="L248" s="109" t="str">
        <f t="shared" si="31"/>
        <v>No</v>
      </c>
      <c r="M248" s="115">
        <f t="shared" si="32"/>
        <v>1</v>
      </c>
      <c r="N248" s="115">
        <v>1</v>
      </c>
    </row>
    <row r="249" spans="1:14" s="53" customFormat="1" ht="77.25" hidden="1" customHeight="1" thickBot="1" x14ac:dyDescent="0.3">
      <c r="A249" s="53" t="s">
        <v>144</v>
      </c>
      <c r="B249" s="430" t="s">
        <v>171</v>
      </c>
      <c r="C249" s="68" t="s">
        <v>179</v>
      </c>
      <c r="D249" s="78">
        <v>6477</v>
      </c>
      <c r="E249" s="88">
        <v>0.60489999999999999</v>
      </c>
      <c r="F249" s="78">
        <v>6250</v>
      </c>
      <c r="G249" s="88">
        <v>0.61119999999999997</v>
      </c>
      <c r="H249" s="90">
        <f t="shared" si="27"/>
        <v>6.2999999999999723E-3</v>
      </c>
      <c r="I249" s="102">
        <f t="shared" si="28"/>
        <v>8.6556750040656799E-3</v>
      </c>
      <c r="J249" s="102">
        <f t="shared" si="29"/>
        <v>0.727846181498356</v>
      </c>
      <c r="K249" s="102">
        <f t="shared" si="30"/>
        <v>0.46670775104938</v>
      </c>
      <c r="L249" s="109" t="str">
        <f t="shared" si="31"/>
        <v>No</v>
      </c>
      <c r="M249" s="115">
        <f t="shared" si="32"/>
        <v>1</v>
      </c>
      <c r="N249" s="115">
        <v>1</v>
      </c>
    </row>
    <row r="250" spans="1:14" s="60" customFormat="1" ht="77.25" hidden="1" customHeight="1" thickBot="1" x14ac:dyDescent="0.3">
      <c r="B250" s="62"/>
      <c r="C250" s="69" t="s">
        <v>176</v>
      </c>
      <c r="D250" s="79"/>
      <c r="E250" s="89"/>
      <c r="F250" s="79"/>
      <c r="G250" s="89"/>
      <c r="H250" s="93"/>
      <c r="I250" s="103"/>
      <c r="J250" s="103"/>
      <c r="K250" s="103"/>
      <c r="L250" s="110"/>
      <c r="M250" s="116"/>
      <c r="N250" s="116">
        <f>SUM(N244:N249)</f>
        <v>6</v>
      </c>
    </row>
    <row r="251" spans="1:14" s="53" customFormat="1" ht="77.25" hidden="1" customHeight="1" thickBot="1" x14ac:dyDescent="0.3">
      <c r="A251" s="53" t="s">
        <v>145</v>
      </c>
      <c r="B251" s="428" t="s">
        <v>170</v>
      </c>
      <c r="C251" s="67" t="s">
        <v>177</v>
      </c>
      <c r="D251" s="80">
        <v>236</v>
      </c>
      <c r="E251" s="90">
        <v>0.37709999999999999</v>
      </c>
      <c r="F251" s="80">
        <v>226</v>
      </c>
      <c r="G251" s="90">
        <v>0.3805</v>
      </c>
      <c r="H251" s="90">
        <f t="shared" si="27"/>
        <v>3.4000000000000141E-3</v>
      </c>
      <c r="I251" s="100">
        <f t="shared" si="28"/>
        <v>4.5147846459969727E-2</v>
      </c>
      <c r="J251" s="100">
        <f t="shared" si="29"/>
        <v>7.5308132426972332E-2</v>
      </c>
      <c r="K251" s="100">
        <f t="shared" si="30"/>
        <v>0.93996955111797376</v>
      </c>
      <c r="L251" s="109" t="str">
        <f t="shared" si="31"/>
        <v>No</v>
      </c>
      <c r="M251" s="115">
        <f t="shared" si="32"/>
        <v>1</v>
      </c>
      <c r="N251" s="115">
        <v>1</v>
      </c>
    </row>
    <row r="252" spans="1:14" s="53" customFormat="1" ht="77.25" hidden="1" customHeight="1" thickBot="1" x14ac:dyDescent="0.3">
      <c r="A252" s="53" t="s">
        <v>145</v>
      </c>
      <c r="B252" s="429" t="s">
        <v>170</v>
      </c>
      <c r="C252" s="65" t="s">
        <v>178</v>
      </c>
      <c r="D252" s="74">
        <v>280</v>
      </c>
      <c r="E252" s="84">
        <v>0.61070000000000002</v>
      </c>
      <c r="F252" s="74">
        <v>276</v>
      </c>
      <c r="G252" s="84">
        <v>0.59060000000000001</v>
      </c>
      <c r="H252" s="90">
        <f t="shared" si="27"/>
        <v>-2.0100000000000007E-2</v>
      </c>
      <c r="I252" s="101">
        <f t="shared" si="28"/>
        <v>4.1534898264104655E-2</v>
      </c>
      <c r="J252" s="101">
        <f t="shared" si="29"/>
        <v>-0.4839304016634815</v>
      </c>
      <c r="K252" s="101">
        <f t="shared" si="30"/>
        <v>0.62843526357555834</v>
      </c>
      <c r="L252" s="109" t="str">
        <f t="shared" si="31"/>
        <v>No</v>
      </c>
      <c r="M252" s="115">
        <f t="shared" si="32"/>
        <v>0</v>
      </c>
      <c r="N252" s="115">
        <v>1</v>
      </c>
    </row>
    <row r="253" spans="1:14" s="53" customFormat="1" ht="77.25" hidden="1" customHeight="1" thickBot="1" x14ac:dyDescent="0.3">
      <c r="A253" s="53" t="s">
        <v>145</v>
      </c>
      <c r="B253" s="430" t="s">
        <v>170</v>
      </c>
      <c r="C253" s="68" t="s">
        <v>179</v>
      </c>
      <c r="D253" s="75">
        <v>221</v>
      </c>
      <c r="E253" s="85">
        <v>0.67420000000000002</v>
      </c>
      <c r="F253" s="75">
        <v>246</v>
      </c>
      <c r="G253" s="85">
        <v>0.6341</v>
      </c>
      <c r="H253" s="90">
        <f t="shared" si="27"/>
        <v>-4.0100000000000025E-2</v>
      </c>
      <c r="I253" s="102">
        <f t="shared" si="28"/>
        <v>4.4012162411824401E-2</v>
      </c>
      <c r="J253" s="102">
        <f t="shared" si="29"/>
        <v>-0.91111178825484551</v>
      </c>
      <c r="K253" s="102">
        <f t="shared" si="30"/>
        <v>0.36223647587127017</v>
      </c>
      <c r="L253" s="109" t="str">
        <f t="shared" si="31"/>
        <v>No</v>
      </c>
      <c r="M253" s="115">
        <f t="shared" si="32"/>
        <v>0</v>
      </c>
      <c r="N253" s="115">
        <v>1</v>
      </c>
    </row>
    <row r="254" spans="1:14" s="53" customFormat="1" ht="77.25" hidden="1" customHeight="1" thickBot="1" x14ac:dyDescent="0.3">
      <c r="A254" s="53" t="s">
        <v>145</v>
      </c>
      <c r="B254" s="428" t="s">
        <v>171</v>
      </c>
      <c r="C254" s="67" t="s">
        <v>177</v>
      </c>
      <c r="D254" s="76">
        <v>327</v>
      </c>
      <c r="E254" s="86">
        <v>0.44650000000000001</v>
      </c>
      <c r="F254" s="76">
        <v>335</v>
      </c>
      <c r="G254" s="86">
        <v>0.45069999999999999</v>
      </c>
      <c r="H254" s="90">
        <f t="shared" si="27"/>
        <v>4.1999999999999815E-3</v>
      </c>
      <c r="I254" s="100">
        <f t="shared" si="28"/>
        <v>3.8662467568255178E-2</v>
      </c>
      <c r="J254" s="100">
        <f t="shared" si="29"/>
        <v>0.10863248685783575</v>
      </c>
      <c r="K254" s="100">
        <f t="shared" si="30"/>
        <v>0.91349399244267437</v>
      </c>
      <c r="L254" s="109" t="str">
        <f t="shared" si="31"/>
        <v>No</v>
      </c>
      <c r="M254" s="115">
        <f t="shared" si="32"/>
        <v>1</v>
      </c>
      <c r="N254" s="115">
        <v>1</v>
      </c>
    </row>
    <row r="255" spans="1:14" s="53" customFormat="1" ht="77.25" hidden="1" customHeight="1" thickBot="1" x14ac:dyDescent="0.3">
      <c r="A255" s="53" t="s">
        <v>145</v>
      </c>
      <c r="B255" s="429" t="s">
        <v>171</v>
      </c>
      <c r="C255" s="65" t="s">
        <v>178</v>
      </c>
      <c r="D255" s="77">
        <v>327</v>
      </c>
      <c r="E255" s="87">
        <v>0.46179999999999999</v>
      </c>
      <c r="F255" s="77">
        <v>335</v>
      </c>
      <c r="G255" s="87">
        <v>0.44180000000000003</v>
      </c>
      <c r="H255" s="90">
        <f t="shared" si="27"/>
        <v>-1.9999999999999962E-2</v>
      </c>
      <c r="I255" s="101">
        <f t="shared" si="28"/>
        <v>3.8681015741263119E-2</v>
      </c>
      <c r="J255" s="101">
        <f t="shared" si="29"/>
        <v>-0.51704950391633298</v>
      </c>
      <c r="K255" s="101">
        <f t="shared" si="30"/>
        <v>0.60512160206567001</v>
      </c>
      <c r="L255" s="109" t="str">
        <f t="shared" si="31"/>
        <v>No</v>
      </c>
      <c r="M255" s="115">
        <f t="shared" si="32"/>
        <v>0</v>
      </c>
      <c r="N255" s="115">
        <v>1</v>
      </c>
    </row>
    <row r="256" spans="1:14" s="53" customFormat="1" ht="77.25" hidden="1" customHeight="1" thickBot="1" x14ac:dyDescent="0.3">
      <c r="A256" s="53" t="s">
        <v>145</v>
      </c>
      <c r="B256" s="430" t="s">
        <v>171</v>
      </c>
      <c r="C256" s="68" t="s">
        <v>179</v>
      </c>
      <c r="D256" s="78">
        <v>327</v>
      </c>
      <c r="E256" s="88">
        <v>0.67889999999999995</v>
      </c>
      <c r="F256" s="78">
        <v>335</v>
      </c>
      <c r="G256" s="88">
        <v>0.64780000000000004</v>
      </c>
      <c r="H256" s="90">
        <f t="shared" si="27"/>
        <v>-3.1099999999999905E-2</v>
      </c>
      <c r="I256" s="102">
        <f t="shared" si="28"/>
        <v>3.6711182397866617E-2</v>
      </c>
      <c r="J256" s="102">
        <f t="shared" si="29"/>
        <v>-0.84715331865222643</v>
      </c>
      <c r="K256" s="102">
        <f t="shared" si="30"/>
        <v>0.39690966920521431</v>
      </c>
      <c r="L256" s="109" t="str">
        <f t="shared" si="31"/>
        <v>No</v>
      </c>
      <c r="M256" s="115">
        <f t="shared" si="32"/>
        <v>0</v>
      </c>
      <c r="N256" s="115">
        <v>1</v>
      </c>
    </row>
    <row r="257" spans="1:14" s="60" customFormat="1" ht="77.25" hidden="1" customHeight="1" thickBot="1" x14ac:dyDescent="0.3">
      <c r="B257" s="62"/>
      <c r="C257" s="69" t="s">
        <v>176</v>
      </c>
      <c r="D257" s="79"/>
      <c r="E257" s="89"/>
      <c r="F257" s="79"/>
      <c r="G257" s="89"/>
      <c r="H257" s="93"/>
      <c r="I257" s="103"/>
      <c r="J257" s="103"/>
      <c r="K257" s="103"/>
      <c r="L257" s="110"/>
      <c r="M257" s="116"/>
      <c r="N257" s="116">
        <f>SUM(N251:N256)</f>
        <v>6</v>
      </c>
    </row>
    <row r="258" spans="1:14" s="53" customFormat="1" ht="77.25" hidden="1" customHeight="1" thickBot="1" x14ac:dyDescent="0.3">
      <c r="A258" s="53" t="s">
        <v>146</v>
      </c>
      <c r="B258" s="428" t="s">
        <v>170</v>
      </c>
      <c r="C258" s="67" t="s">
        <v>177</v>
      </c>
      <c r="D258" s="80">
        <v>453</v>
      </c>
      <c r="E258" s="90">
        <v>0.66</v>
      </c>
      <c r="F258" s="80">
        <v>669</v>
      </c>
      <c r="G258" s="90">
        <v>0.59489999999999998</v>
      </c>
      <c r="H258" s="90">
        <f t="shared" ref="H258:H331" si="33">G258-E258</f>
        <v>-6.5100000000000047E-2</v>
      </c>
      <c r="I258" s="100">
        <f t="shared" si="28"/>
        <v>2.9250545598036172E-2</v>
      </c>
      <c r="J258" s="100">
        <f t="shared" si="29"/>
        <v>-2.2255995117017831</v>
      </c>
      <c r="K258" s="100">
        <f t="shared" si="30"/>
        <v>2.6041018938841809E-2</v>
      </c>
      <c r="L258" s="109" t="str">
        <f t="shared" si="31"/>
        <v>Yes</v>
      </c>
      <c r="M258" s="115">
        <f t="shared" si="32"/>
        <v>0</v>
      </c>
      <c r="N258" s="115">
        <v>0</v>
      </c>
    </row>
    <row r="259" spans="1:14" s="53" customFormat="1" ht="77.25" hidden="1" customHeight="1" thickBot="1" x14ac:dyDescent="0.3">
      <c r="A259" s="53" t="s">
        <v>146</v>
      </c>
      <c r="B259" s="429" t="s">
        <v>170</v>
      </c>
      <c r="C259" s="65" t="s">
        <v>178</v>
      </c>
      <c r="D259" s="74">
        <v>460</v>
      </c>
      <c r="E259" s="84">
        <v>0.58479999999999999</v>
      </c>
      <c r="F259" s="74">
        <v>678</v>
      </c>
      <c r="G259" s="84">
        <v>0.50739999999999996</v>
      </c>
      <c r="H259" s="90">
        <f t="shared" si="33"/>
        <v>-7.7400000000000024E-2</v>
      </c>
      <c r="I259" s="101">
        <f t="shared" si="28"/>
        <v>2.9941549086137283E-2</v>
      </c>
      <c r="J259" s="101">
        <f t="shared" si="29"/>
        <v>-2.585036591705125</v>
      </c>
      <c r="K259" s="101">
        <f t="shared" si="30"/>
        <v>9.7368663240449127E-3</v>
      </c>
      <c r="L259" s="109" t="str">
        <f t="shared" si="31"/>
        <v>Yes</v>
      </c>
      <c r="M259" s="115">
        <f t="shared" si="32"/>
        <v>0</v>
      </c>
      <c r="N259" s="115">
        <v>0</v>
      </c>
    </row>
    <row r="260" spans="1:14" s="53" customFormat="1" ht="77.25" hidden="1" customHeight="1" thickBot="1" x14ac:dyDescent="0.3">
      <c r="A260" s="53" t="s">
        <v>146</v>
      </c>
      <c r="B260" s="430" t="s">
        <v>170</v>
      </c>
      <c r="C260" s="68" t="s">
        <v>179</v>
      </c>
      <c r="D260" s="75">
        <v>452</v>
      </c>
      <c r="E260" s="85">
        <v>0.59960000000000002</v>
      </c>
      <c r="F260" s="75">
        <v>655</v>
      </c>
      <c r="G260" s="85">
        <v>0.79690000000000005</v>
      </c>
      <c r="H260" s="90">
        <f t="shared" si="33"/>
        <v>0.19730000000000003</v>
      </c>
      <c r="I260" s="102">
        <f t="shared" si="28"/>
        <v>2.7897131045264204E-2</v>
      </c>
      <c r="J260" s="102">
        <f t="shared" si="29"/>
        <v>7.0724118433495162</v>
      </c>
      <c r="K260" s="102">
        <f t="shared" si="30"/>
        <v>1.5225598559709397E-12</v>
      </c>
      <c r="L260" s="109" t="str">
        <f t="shared" si="31"/>
        <v>Yes</v>
      </c>
      <c r="M260" s="115">
        <f t="shared" si="32"/>
        <v>1</v>
      </c>
      <c r="N260" s="115">
        <v>2</v>
      </c>
    </row>
    <row r="261" spans="1:14" s="53" customFormat="1" ht="77.25" hidden="1" customHeight="1" thickBot="1" x14ac:dyDescent="0.3">
      <c r="A261" s="53" t="s">
        <v>146</v>
      </c>
      <c r="B261" s="428" t="s">
        <v>171</v>
      </c>
      <c r="C261" s="67" t="s">
        <v>177</v>
      </c>
      <c r="D261" s="76">
        <v>499</v>
      </c>
      <c r="E261" s="86">
        <v>0.37069999999999997</v>
      </c>
      <c r="F261" s="76">
        <v>707</v>
      </c>
      <c r="G261" s="86">
        <v>0.3296</v>
      </c>
      <c r="H261" s="90">
        <f t="shared" si="33"/>
        <v>-4.109999999999997E-2</v>
      </c>
      <c r="I261" s="100">
        <f t="shared" si="28"/>
        <v>2.7929111551271722E-2</v>
      </c>
      <c r="J261" s="100">
        <f t="shared" si="29"/>
        <v>-1.4715827936219663</v>
      </c>
      <c r="K261" s="100">
        <f t="shared" si="30"/>
        <v>0.14113357479078603</v>
      </c>
      <c r="L261" s="109" t="str">
        <f t="shared" si="31"/>
        <v>No</v>
      </c>
      <c r="M261" s="115">
        <f t="shared" si="32"/>
        <v>0</v>
      </c>
      <c r="N261" s="115">
        <v>1</v>
      </c>
    </row>
    <row r="262" spans="1:14" s="53" customFormat="1" ht="77.25" hidden="1" customHeight="1" thickBot="1" x14ac:dyDescent="0.3">
      <c r="A262" s="53" t="s">
        <v>146</v>
      </c>
      <c r="B262" s="429" t="s">
        <v>171</v>
      </c>
      <c r="C262" s="65" t="s">
        <v>178</v>
      </c>
      <c r="D262" s="77">
        <v>499</v>
      </c>
      <c r="E262" s="87">
        <v>0.3367</v>
      </c>
      <c r="F262" s="77">
        <v>707</v>
      </c>
      <c r="G262" s="87">
        <v>0.2928</v>
      </c>
      <c r="H262" s="90">
        <f t="shared" si="33"/>
        <v>-4.3899999999999995E-2</v>
      </c>
      <c r="I262" s="101">
        <f t="shared" si="28"/>
        <v>2.7211103828027352E-2</v>
      </c>
      <c r="J262" s="101">
        <f t="shared" si="29"/>
        <v>-1.6133119875417599</v>
      </c>
      <c r="K262" s="101">
        <f t="shared" si="30"/>
        <v>0.10667674347037615</v>
      </c>
      <c r="L262" s="109" t="str">
        <f t="shared" si="31"/>
        <v>No</v>
      </c>
      <c r="M262" s="115">
        <f t="shared" si="32"/>
        <v>0</v>
      </c>
      <c r="N262" s="115">
        <v>1</v>
      </c>
    </row>
    <row r="263" spans="1:14" s="53" customFormat="1" ht="77.25" hidden="1" customHeight="1" thickBot="1" x14ac:dyDescent="0.3">
      <c r="A263" s="53" t="s">
        <v>146</v>
      </c>
      <c r="B263" s="430" t="s">
        <v>171</v>
      </c>
      <c r="C263" s="68" t="s">
        <v>179</v>
      </c>
      <c r="D263" s="78">
        <v>499</v>
      </c>
      <c r="E263" s="88">
        <v>0.26050000000000001</v>
      </c>
      <c r="F263" s="78">
        <v>707</v>
      </c>
      <c r="G263" s="88">
        <v>0.5403</v>
      </c>
      <c r="H263" s="90">
        <f t="shared" si="33"/>
        <v>0.27979999999999999</v>
      </c>
      <c r="I263" s="102">
        <f t="shared" si="28"/>
        <v>2.7154396245458155E-2</v>
      </c>
      <c r="J263" s="102">
        <f t="shared" si="29"/>
        <v>10.304040549117323</v>
      </c>
      <c r="K263" s="102">
        <f t="shared" si="30"/>
        <v>0</v>
      </c>
      <c r="L263" s="109" t="str">
        <f t="shared" si="31"/>
        <v>Yes</v>
      </c>
      <c r="M263" s="115">
        <f t="shared" si="32"/>
        <v>1</v>
      </c>
      <c r="N263" s="115">
        <v>2</v>
      </c>
    </row>
    <row r="264" spans="1:14" s="60" customFormat="1" ht="77.25" hidden="1" customHeight="1" thickBot="1" x14ac:dyDescent="0.3">
      <c r="B264" s="62"/>
      <c r="C264" s="69" t="s">
        <v>176</v>
      </c>
      <c r="D264" s="79"/>
      <c r="E264" s="89"/>
      <c r="F264" s="79"/>
      <c r="G264" s="89"/>
      <c r="H264" s="93"/>
      <c r="I264" s="103"/>
      <c r="J264" s="103"/>
      <c r="K264" s="103"/>
      <c r="L264" s="110"/>
      <c r="M264" s="116"/>
      <c r="N264" s="116">
        <f>SUM(N258:N263)</f>
        <v>6</v>
      </c>
    </row>
    <row r="265" spans="1:14" s="53" customFormat="1" ht="77.25" hidden="1" customHeight="1" thickBot="1" x14ac:dyDescent="0.3">
      <c r="A265" s="53" t="s">
        <v>147</v>
      </c>
      <c r="B265" s="428" t="s">
        <v>170</v>
      </c>
      <c r="C265" s="67" t="s">
        <v>177</v>
      </c>
      <c r="D265" s="80">
        <v>688</v>
      </c>
      <c r="E265" s="90">
        <v>0.80379999999999996</v>
      </c>
      <c r="F265" s="80">
        <v>728</v>
      </c>
      <c r="G265" s="90">
        <v>0.82689999999999997</v>
      </c>
      <c r="H265" s="90">
        <f t="shared" si="33"/>
        <v>2.3100000000000009E-2</v>
      </c>
      <c r="I265" s="100">
        <f t="shared" ref="I265:I338" si="34">SQRT(E265*(1-E265)/D265+G265*(1-G265)/F265)</f>
        <v>2.0635869693426762E-2</v>
      </c>
      <c r="J265" s="100">
        <f t="shared" ref="J265:J338" si="35">H265/I265</f>
        <v>1.119410053619313</v>
      </c>
      <c r="K265" s="100">
        <f t="shared" ref="K265:K338" si="36">2*(1-NORMDIST(ABS(J265),0,1,TRUE))</f>
        <v>0.26296524388771614</v>
      </c>
      <c r="L265" s="109" t="str">
        <f t="shared" ref="L265:L338" si="37">IF(K265="","",IF(K265&lt;=0.05, "Yes", "No"))</f>
        <v>No</v>
      </c>
      <c r="M265" s="115">
        <f t="shared" ref="M265:M338" si="38">IF(H265&gt;=0, 1, 0)</f>
        <v>1</v>
      </c>
      <c r="N265" s="115">
        <v>1</v>
      </c>
    </row>
    <row r="266" spans="1:14" s="53" customFormat="1" ht="77.25" hidden="1" customHeight="1" thickBot="1" x14ac:dyDescent="0.3">
      <c r="A266" s="53" t="s">
        <v>147</v>
      </c>
      <c r="B266" s="429" t="s">
        <v>170</v>
      </c>
      <c r="C266" s="65" t="s">
        <v>178</v>
      </c>
      <c r="D266" s="74">
        <v>834</v>
      </c>
      <c r="E266" s="84">
        <v>0.82489999999999997</v>
      </c>
      <c r="F266" s="74">
        <v>854</v>
      </c>
      <c r="G266" s="84">
        <v>0.85250000000000004</v>
      </c>
      <c r="H266" s="90">
        <f t="shared" si="33"/>
        <v>2.7600000000000069E-2</v>
      </c>
      <c r="I266" s="101">
        <f t="shared" si="34"/>
        <v>1.7900568748209854E-2</v>
      </c>
      <c r="J266" s="101">
        <f t="shared" si="35"/>
        <v>1.5418504511349789</v>
      </c>
      <c r="K266" s="101">
        <f t="shared" si="36"/>
        <v>0.12310993890415034</v>
      </c>
      <c r="L266" s="109" t="str">
        <f t="shared" si="37"/>
        <v>No</v>
      </c>
      <c r="M266" s="115">
        <f t="shared" si="38"/>
        <v>1</v>
      </c>
      <c r="N266" s="115">
        <v>1</v>
      </c>
    </row>
    <row r="267" spans="1:14" s="53" customFormat="1" ht="77.25" hidden="1" customHeight="1" thickBot="1" x14ac:dyDescent="0.3">
      <c r="A267" s="53" t="s">
        <v>147</v>
      </c>
      <c r="B267" s="430" t="s">
        <v>170</v>
      </c>
      <c r="C267" s="68" t="s">
        <v>179</v>
      </c>
      <c r="D267" s="75">
        <v>776</v>
      </c>
      <c r="E267" s="85">
        <v>0.83889999999999998</v>
      </c>
      <c r="F267" s="75">
        <v>822</v>
      </c>
      <c r="G267" s="85">
        <v>0.86370000000000002</v>
      </c>
      <c r="H267" s="90">
        <f t="shared" si="33"/>
        <v>2.4800000000000044E-2</v>
      </c>
      <c r="I267" s="102">
        <f t="shared" si="34"/>
        <v>1.7814957860943073E-2</v>
      </c>
      <c r="J267" s="102">
        <f t="shared" si="35"/>
        <v>1.3920886141623017</v>
      </c>
      <c r="K267" s="102">
        <f t="shared" si="36"/>
        <v>0.16389556564776964</v>
      </c>
      <c r="L267" s="109" t="str">
        <f t="shared" si="37"/>
        <v>No</v>
      </c>
      <c r="M267" s="115">
        <f t="shared" si="38"/>
        <v>1</v>
      </c>
      <c r="N267" s="115">
        <v>1</v>
      </c>
    </row>
    <row r="268" spans="1:14" s="53" customFormat="1" ht="77.25" hidden="1" customHeight="1" thickBot="1" x14ac:dyDescent="0.3">
      <c r="A268" s="53" t="s">
        <v>147</v>
      </c>
      <c r="B268" s="428" t="s">
        <v>171</v>
      </c>
      <c r="C268" s="67" t="s">
        <v>177</v>
      </c>
      <c r="D268" s="76">
        <v>1047</v>
      </c>
      <c r="E268" s="86">
        <v>0.71919999999999995</v>
      </c>
      <c r="F268" s="76">
        <v>1094</v>
      </c>
      <c r="G268" s="86">
        <v>0.71120000000000005</v>
      </c>
      <c r="H268" s="90">
        <f t="shared" si="33"/>
        <v>-7.9999999999998961E-3</v>
      </c>
      <c r="I268" s="100">
        <f t="shared" si="34"/>
        <v>1.9509795724110053E-2</v>
      </c>
      <c r="J268" s="100">
        <f t="shared" si="35"/>
        <v>-0.41005042354767246</v>
      </c>
      <c r="K268" s="100">
        <f t="shared" si="36"/>
        <v>0.68176895906172308</v>
      </c>
      <c r="L268" s="109" t="str">
        <f t="shared" si="37"/>
        <v>No</v>
      </c>
      <c r="M268" s="115">
        <f t="shared" si="38"/>
        <v>0</v>
      </c>
      <c r="N268" s="115">
        <v>1</v>
      </c>
    </row>
    <row r="269" spans="1:14" s="53" customFormat="1" ht="77.25" hidden="1" customHeight="1" thickBot="1" x14ac:dyDescent="0.3">
      <c r="A269" s="53" t="s">
        <v>147</v>
      </c>
      <c r="B269" s="429" t="s">
        <v>171</v>
      </c>
      <c r="C269" s="65" t="s">
        <v>178</v>
      </c>
      <c r="D269" s="77">
        <v>1047</v>
      </c>
      <c r="E269" s="87">
        <v>0.6714</v>
      </c>
      <c r="F269" s="77">
        <v>1096</v>
      </c>
      <c r="G269" s="87">
        <v>0.66879999999999995</v>
      </c>
      <c r="H269" s="90">
        <f t="shared" si="33"/>
        <v>-2.6000000000000467E-3</v>
      </c>
      <c r="I269" s="101">
        <f t="shared" si="34"/>
        <v>2.0318041400433692E-2</v>
      </c>
      <c r="J269" s="101">
        <f t="shared" si="35"/>
        <v>-0.12796509017569721</v>
      </c>
      <c r="K269" s="101">
        <f t="shared" si="36"/>
        <v>0.89817659986495713</v>
      </c>
      <c r="L269" s="109" t="str">
        <f t="shared" si="37"/>
        <v>No</v>
      </c>
      <c r="M269" s="115">
        <f t="shared" si="38"/>
        <v>0</v>
      </c>
      <c r="N269" s="115">
        <v>1</v>
      </c>
    </row>
    <row r="270" spans="1:14" s="53" customFormat="1" ht="77.25" hidden="1" customHeight="1" thickBot="1" x14ac:dyDescent="0.3">
      <c r="A270" s="53" t="s">
        <v>147</v>
      </c>
      <c r="B270" s="430" t="s">
        <v>171</v>
      </c>
      <c r="C270" s="68" t="s">
        <v>179</v>
      </c>
      <c r="D270" s="78">
        <v>1047</v>
      </c>
      <c r="E270" s="88">
        <v>0.71919999999999995</v>
      </c>
      <c r="F270" s="78">
        <v>1094</v>
      </c>
      <c r="G270" s="88">
        <v>0.72489999999999999</v>
      </c>
      <c r="H270" s="90">
        <f t="shared" si="33"/>
        <v>5.7000000000000384E-3</v>
      </c>
      <c r="I270" s="102">
        <f t="shared" si="34"/>
        <v>1.9369329195260798E-2</v>
      </c>
      <c r="J270" s="102">
        <f t="shared" si="35"/>
        <v>0.29427968013444106</v>
      </c>
      <c r="K270" s="102">
        <f t="shared" si="36"/>
        <v>0.76854419847093913</v>
      </c>
      <c r="L270" s="109" t="str">
        <f t="shared" si="37"/>
        <v>No</v>
      </c>
      <c r="M270" s="115">
        <f t="shared" si="38"/>
        <v>1</v>
      </c>
      <c r="N270" s="115">
        <v>1</v>
      </c>
    </row>
    <row r="271" spans="1:14" s="60" customFormat="1" ht="77.25" hidden="1" customHeight="1" thickBot="1" x14ac:dyDescent="0.3">
      <c r="B271" s="62"/>
      <c r="C271" s="69" t="s">
        <v>176</v>
      </c>
      <c r="D271" s="79"/>
      <c r="E271" s="89"/>
      <c r="F271" s="79"/>
      <c r="G271" s="89"/>
      <c r="H271" s="93"/>
      <c r="I271" s="103"/>
      <c r="J271" s="103"/>
      <c r="K271" s="103"/>
      <c r="L271" s="110"/>
      <c r="M271" s="116"/>
      <c r="N271" s="116">
        <f>SUM(N265:N270)</f>
        <v>6</v>
      </c>
    </row>
    <row r="272" spans="1:14" s="53" customFormat="1" ht="77.25" hidden="1" customHeight="1" thickBot="1" x14ac:dyDescent="0.3">
      <c r="A272" s="53" t="s">
        <v>148</v>
      </c>
      <c r="B272" s="428" t="s">
        <v>170</v>
      </c>
      <c r="C272" s="67" t="s">
        <v>177</v>
      </c>
      <c r="D272" s="80">
        <v>1108</v>
      </c>
      <c r="E272" s="90">
        <v>0.38719999999999999</v>
      </c>
      <c r="F272" s="80">
        <v>734</v>
      </c>
      <c r="G272" s="90">
        <v>0.38150000000000001</v>
      </c>
      <c r="H272" s="90">
        <f t="shared" si="33"/>
        <v>-5.6999999999999829E-3</v>
      </c>
      <c r="I272" s="100">
        <f t="shared" si="34"/>
        <v>2.3143389619834139E-2</v>
      </c>
      <c r="J272" s="100">
        <f t="shared" si="35"/>
        <v>-0.24629062957636164</v>
      </c>
      <c r="K272" s="100">
        <f t="shared" si="36"/>
        <v>0.80545726309805454</v>
      </c>
      <c r="L272" s="109" t="str">
        <f t="shared" si="37"/>
        <v>No</v>
      </c>
      <c r="M272" s="115">
        <f t="shared" si="38"/>
        <v>0</v>
      </c>
      <c r="N272" s="115">
        <v>1</v>
      </c>
    </row>
    <row r="273" spans="1:14" s="53" customFormat="1" ht="77.25" hidden="1" customHeight="1" thickBot="1" x14ac:dyDescent="0.3">
      <c r="A273" s="53" t="s">
        <v>148</v>
      </c>
      <c r="B273" s="429" t="s">
        <v>170</v>
      </c>
      <c r="C273" s="65" t="s">
        <v>178</v>
      </c>
      <c r="D273" s="74">
        <v>3487</v>
      </c>
      <c r="E273" s="84">
        <v>0.76829999999999998</v>
      </c>
      <c r="F273" s="74">
        <v>2097</v>
      </c>
      <c r="G273" s="84">
        <v>0.82589999999999997</v>
      </c>
      <c r="H273" s="90">
        <f t="shared" si="33"/>
        <v>5.7599999999999985E-2</v>
      </c>
      <c r="I273" s="101">
        <f t="shared" si="34"/>
        <v>1.093709636330316E-2</v>
      </c>
      <c r="J273" s="101">
        <f t="shared" si="35"/>
        <v>5.2664800680794182</v>
      </c>
      <c r="K273" s="101">
        <f t="shared" si="36"/>
        <v>1.3906433760091375E-7</v>
      </c>
      <c r="L273" s="109" t="str">
        <f t="shared" si="37"/>
        <v>Yes</v>
      </c>
      <c r="M273" s="115">
        <f t="shared" si="38"/>
        <v>1</v>
      </c>
      <c r="N273" s="115">
        <v>2</v>
      </c>
    </row>
    <row r="274" spans="1:14" s="53" customFormat="1" ht="77.25" hidden="1" customHeight="1" thickBot="1" x14ac:dyDescent="0.3">
      <c r="A274" s="53" t="s">
        <v>148</v>
      </c>
      <c r="B274" s="430" t="s">
        <v>170</v>
      </c>
      <c r="C274" s="68" t="s">
        <v>179</v>
      </c>
      <c r="D274" s="75">
        <v>2365</v>
      </c>
      <c r="E274" s="85">
        <v>0.83889999999999998</v>
      </c>
      <c r="F274" s="75">
        <v>993</v>
      </c>
      <c r="G274" s="85">
        <v>0.92849999999999999</v>
      </c>
      <c r="H274" s="90">
        <f t="shared" si="33"/>
        <v>8.9600000000000013E-2</v>
      </c>
      <c r="I274" s="102">
        <f t="shared" si="34"/>
        <v>1.1135540411934909E-2</v>
      </c>
      <c r="J274" s="102">
        <f t="shared" si="35"/>
        <v>8.0463090865323466</v>
      </c>
      <c r="K274" s="102">
        <f t="shared" si="36"/>
        <v>8.8817841970012523E-16</v>
      </c>
      <c r="L274" s="109" t="str">
        <f t="shared" si="37"/>
        <v>Yes</v>
      </c>
      <c r="M274" s="115">
        <f t="shared" si="38"/>
        <v>1</v>
      </c>
      <c r="N274" s="115">
        <v>2</v>
      </c>
    </row>
    <row r="275" spans="1:14" s="53" customFormat="1" ht="77.25" hidden="1" customHeight="1" thickBot="1" x14ac:dyDescent="0.3">
      <c r="A275" s="53" t="s">
        <v>148</v>
      </c>
      <c r="B275" s="428" t="s">
        <v>171</v>
      </c>
      <c r="C275" s="67" t="s">
        <v>177</v>
      </c>
      <c r="D275" s="76">
        <v>4512</v>
      </c>
      <c r="E275" s="86">
        <v>0.82310000000000005</v>
      </c>
      <c r="F275" s="76">
        <v>2409</v>
      </c>
      <c r="G275" s="86">
        <v>0.77290000000000003</v>
      </c>
      <c r="H275" s="90">
        <f t="shared" si="33"/>
        <v>-5.0200000000000022E-2</v>
      </c>
      <c r="I275" s="100">
        <f t="shared" si="34"/>
        <v>1.0253455425515236E-2</v>
      </c>
      <c r="J275" s="100">
        <f t="shared" si="35"/>
        <v>-4.8959104922892349</v>
      </c>
      <c r="K275" s="100">
        <f t="shared" si="36"/>
        <v>9.785160037800722E-7</v>
      </c>
      <c r="L275" s="109" t="str">
        <f t="shared" si="37"/>
        <v>Yes</v>
      </c>
      <c r="M275" s="115">
        <f t="shared" si="38"/>
        <v>0</v>
      </c>
      <c r="N275" s="115">
        <v>0</v>
      </c>
    </row>
    <row r="276" spans="1:14" s="53" customFormat="1" ht="77.25" hidden="1" customHeight="1" thickBot="1" x14ac:dyDescent="0.3">
      <c r="A276" s="53" t="s">
        <v>148</v>
      </c>
      <c r="B276" s="429" t="s">
        <v>171</v>
      </c>
      <c r="C276" s="65" t="s">
        <v>178</v>
      </c>
      <c r="D276" s="77">
        <v>4512</v>
      </c>
      <c r="E276" s="87">
        <v>0.44350000000000001</v>
      </c>
      <c r="F276" s="77">
        <v>2409</v>
      </c>
      <c r="G276" s="87">
        <v>0.4587</v>
      </c>
      <c r="H276" s="90">
        <f t="shared" si="33"/>
        <v>1.5199999999999991E-2</v>
      </c>
      <c r="I276" s="101">
        <f t="shared" si="34"/>
        <v>1.2560642947593174E-2</v>
      </c>
      <c r="J276" s="101">
        <f t="shared" si="35"/>
        <v>1.2101291361771063</v>
      </c>
      <c r="K276" s="101">
        <f t="shared" si="36"/>
        <v>0.22622934458543487</v>
      </c>
      <c r="L276" s="109" t="str">
        <f t="shared" si="37"/>
        <v>No</v>
      </c>
      <c r="M276" s="115">
        <f t="shared" si="38"/>
        <v>1</v>
      </c>
      <c r="N276" s="115">
        <v>1</v>
      </c>
    </row>
    <row r="277" spans="1:14" s="53" customFormat="1" ht="77.25" hidden="1" customHeight="1" thickBot="1" x14ac:dyDescent="0.3">
      <c r="A277" s="53" t="s">
        <v>148</v>
      </c>
      <c r="B277" s="430" t="s">
        <v>171</v>
      </c>
      <c r="C277" s="68" t="s">
        <v>179</v>
      </c>
      <c r="D277" s="78">
        <v>4512</v>
      </c>
      <c r="E277" s="88">
        <v>0.68910000000000005</v>
      </c>
      <c r="F277" s="78">
        <v>2409</v>
      </c>
      <c r="G277" s="88">
        <v>0.78749999999999998</v>
      </c>
      <c r="H277" s="90">
        <f t="shared" si="33"/>
        <v>9.8399999999999932E-2</v>
      </c>
      <c r="I277" s="102">
        <f t="shared" si="34"/>
        <v>1.0814277507158835E-2</v>
      </c>
      <c r="J277" s="102">
        <f t="shared" si="35"/>
        <v>9.0990822026585789</v>
      </c>
      <c r="K277" s="102">
        <f t="shared" si="36"/>
        <v>0</v>
      </c>
      <c r="L277" s="109" t="str">
        <f t="shared" si="37"/>
        <v>Yes</v>
      </c>
      <c r="M277" s="115">
        <f t="shared" si="38"/>
        <v>1</v>
      </c>
      <c r="N277" s="115">
        <v>2</v>
      </c>
    </row>
    <row r="278" spans="1:14" s="60" customFormat="1" ht="77.25" hidden="1" customHeight="1" thickBot="1" x14ac:dyDescent="0.3">
      <c r="B278" s="62"/>
      <c r="C278" s="69" t="s">
        <v>176</v>
      </c>
      <c r="D278" s="79"/>
      <c r="E278" s="89"/>
      <c r="F278" s="79"/>
      <c r="G278" s="89"/>
      <c r="H278" s="93"/>
      <c r="I278" s="103"/>
      <c r="J278" s="103"/>
      <c r="K278" s="103"/>
      <c r="L278" s="110"/>
      <c r="M278" s="116"/>
      <c r="N278" s="116">
        <f>SUM(N272:N277)</f>
        <v>8</v>
      </c>
    </row>
    <row r="279" spans="1:14" s="53" customFormat="1" ht="77.25" hidden="1" customHeight="1" thickBot="1" x14ac:dyDescent="0.3">
      <c r="A279" s="53" t="s">
        <v>149</v>
      </c>
      <c r="B279" s="428" t="s">
        <v>170</v>
      </c>
      <c r="C279" s="67" t="s">
        <v>177</v>
      </c>
      <c r="D279" s="80">
        <v>2087</v>
      </c>
      <c r="E279" s="90">
        <v>0.71299999999999997</v>
      </c>
      <c r="F279" s="80">
        <v>2051</v>
      </c>
      <c r="G279" s="90">
        <v>0.68500000000000005</v>
      </c>
      <c r="H279" s="90">
        <f t="shared" si="33"/>
        <v>-2.7999999999999914E-2</v>
      </c>
      <c r="I279" s="100">
        <f t="shared" si="34"/>
        <v>1.4256755928641035E-2</v>
      </c>
      <c r="J279" s="100">
        <f t="shared" si="35"/>
        <v>-1.9639811567335217</v>
      </c>
      <c r="K279" s="100">
        <f t="shared" si="36"/>
        <v>4.9532277169048955E-2</v>
      </c>
      <c r="L279" s="109" t="str">
        <f t="shared" si="37"/>
        <v>Yes</v>
      </c>
      <c r="M279" s="115">
        <f t="shared" si="38"/>
        <v>0</v>
      </c>
      <c r="N279" s="115">
        <v>0</v>
      </c>
    </row>
    <row r="280" spans="1:14" s="53" customFormat="1" ht="77.25" hidden="1" customHeight="1" thickBot="1" x14ac:dyDescent="0.3">
      <c r="A280" s="53" t="s">
        <v>149</v>
      </c>
      <c r="B280" s="429" t="s">
        <v>170</v>
      </c>
      <c r="C280" s="65" t="s">
        <v>178</v>
      </c>
      <c r="D280" s="74">
        <v>2298</v>
      </c>
      <c r="E280" s="84">
        <v>0.75939999999999996</v>
      </c>
      <c r="F280" s="74">
        <v>2108</v>
      </c>
      <c r="G280" s="84">
        <v>0.71020000000000005</v>
      </c>
      <c r="H280" s="90">
        <f t="shared" si="33"/>
        <v>-4.919999999999991E-2</v>
      </c>
      <c r="I280" s="101">
        <f t="shared" si="34"/>
        <v>1.3309569353371053E-2</v>
      </c>
      <c r="J280" s="101">
        <f t="shared" si="35"/>
        <v>-3.6965884239927354</v>
      </c>
      <c r="K280" s="101">
        <f t="shared" si="36"/>
        <v>2.1851617148027636E-4</v>
      </c>
      <c r="L280" s="109" t="str">
        <f t="shared" si="37"/>
        <v>Yes</v>
      </c>
      <c r="M280" s="115">
        <f t="shared" si="38"/>
        <v>0</v>
      </c>
      <c r="N280" s="115">
        <v>0</v>
      </c>
    </row>
    <row r="281" spans="1:14" s="53" customFormat="1" ht="77.25" hidden="1" customHeight="1" thickBot="1" x14ac:dyDescent="0.3">
      <c r="A281" s="53" t="s">
        <v>149</v>
      </c>
      <c r="B281" s="430" t="s">
        <v>170</v>
      </c>
      <c r="C281" s="68" t="s">
        <v>179</v>
      </c>
      <c r="D281" s="75">
        <v>2284</v>
      </c>
      <c r="E281" s="85">
        <v>0.76439999999999997</v>
      </c>
      <c r="F281" s="75">
        <v>2180</v>
      </c>
      <c r="G281" s="85">
        <v>0.73029999999999995</v>
      </c>
      <c r="H281" s="90">
        <f t="shared" si="33"/>
        <v>-3.4100000000000019E-2</v>
      </c>
      <c r="I281" s="102">
        <f t="shared" si="34"/>
        <v>1.3007658023273746E-2</v>
      </c>
      <c r="J281" s="102">
        <f t="shared" si="35"/>
        <v>-2.62153263400584</v>
      </c>
      <c r="K281" s="102">
        <f t="shared" si="36"/>
        <v>8.7535381257415334E-3</v>
      </c>
      <c r="L281" s="109" t="str">
        <f t="shared" si="37"/>
        <v>Yes</v>
      </c>
      <c r="M281" s="115">
        <f t="shared" si="38"/>
        <v>0</v>
      </c>
      <c r="N281" s="115">
        <v>0</v>
      </c>
    </row>
    <row r="282" spans="1:14" s="53" customFormat="1" ht="77.25" hidden="1" customHeight="1" thickBot="1" x14ac:dyDescent="0.3">
      <c r="A282" s="53" t="s">
        <v>149</v>
      </c>
      <c r="B282" s="428" t="s">
        <v>171</v>
      </c>
      <c r="C282" s="67" t="s">
        <v>177</v>
      </c>
      <c r="D282" s="76">
        <v>2899</v>
      </c>
      <c r="E282" s="86">
        <v>0.64880000000000004</v>
      </c>
      <c r="F282" s="76">
        <v>2900</v>
      </c>
      <c r="G282" s="86">
        <v>0.65139999999999998</v>
      </c>
      <c r="H282" s="90">
        <f t="shared" si="33"/>
        <v>2.5999999999999357E-3</v>
      </c>
      <c r="I282" s="100">
        <f t="shared" si="34"/>
        <v>1.2526044577824181E-2</v>
      </c>
      <c r="J282" s="100">
        <f t="shared" si="35"/>
        <v>0.20756751932712386</v>
      </c>
      <c r="K282" s="100">
        <f t="shared" si="36"/>
        <v>0.83556666779436517</v>
      </c>
      <c r="L282" s="109" t="str">
        <f t="shared" si="37"/>
        <v>No</v>
      </c>
      <c r="M282" s="115">
        <f t="shared" si="38"/>
        <v>1</v>
      </c>
      <c r="N282" s="115">
        <v>1</v>
      </c>
    </row>
    <row r="283" spans="1:14" s="53" customFormat="1" ht="77.25" hidden="1" customHeight="1" thickBot="1" x14ac:dyDescent="0.3">
      <c r="A283" s="53" t="s">
        <v>149</v>
      </c>
      <c r="B283" s="429" t="s">
        <v>171</v>
      </c>
      <c r="C283" s="65" t="s">
        <v>178</v>
      </c>
      <c r="D283" s="77">
        <v>2899</v>
      </c>
      <c r="E283" s="87">
        <v>0.65090000000000003</v>
      </c>
      <c r="F283" s="77">
        <v>2900</v>
      </c>
      <c r="G283" s="87">
        <v>0.66210000000000002</v>
      </c>
      <c r="H283" s="90">
        <f t="shared" si="33"/>
        <v>1.1199999999999988E-2</v>
      </c>
      <c r="I283" s="101">
        <f t="shared" si="34"/>
        <v>1.2471086034080264E-2</v>
      </c>
      <c r="J283" s="101">
        <f t="shared" si="35"/>
        <v>0.89807735825037804</v>
      </c>
      <c r="K283" s="101">
        <f t="shared" si="36"/>
        <v>0.3691443090319777</v>
      </c>
      <c r="L283" s="109" t="str">
        <f t="shared" si="37"/>
        <v>No</v>
      </c>
      <c r="M283" s="115">
        <f t="shared" si="38"/>
        <v>1</v>
      </c>
      <c r="N283" s="115">
        <v>1</v>
      </c>
    </row>
    <row r="284" spans="1:14" s="53" customFormat="1" ht="77.25" hidden="1" customHeight="1" thickBot="1" x14ac:dyDescent="0.3">
      <c r="A284" s="53" t="s">
        <v>149</v>
      </c>
      <c r="B284" s="430" t="s">
        <v>171</v>
      </c>
      <c r="C284" s="68" t="s">
        <v>179</v>
      </c>
      <c r="D284" s="78">
        <v>2899</v>
      </c>
      <c r="E284" s="88">
        <v>0.65259999999999996</v>
      </c>
      <c r="F284" s="78">
        <v>2900</v>
      </c>
      <c r="G284" s="88">
        <v>0.66339999999999999</v>
      </c>
      <c r="H284" s="90">
        <f t="shared" si="33"/>
        <v>1.0800000000000032E-2</v>
      </c>
      <c r="I284" s="102">
        <f t="shared" si="34"/>
        <v>1.2458093670882344E-2</v>
      </c>
      <c r="J284" s="102">
        <f t="shared" si="35"/>
        <v>0.86690630888755571</v>
      </c>
      <c r="K284" s="102">
        <f t="shared" si="36"/>
        <v>0.38599334650796768</v>
      </c>
      <c r="L284" s="109" t="str">
        <f t="shared" si="37"/>
        <v>No</v>
      </c>
      <c r="M284" s="115">
        <f t="shared" si="38"/>
        <v>1</v>
      </c>
      <c r="N284" s="115">
        <v>1</v>
      </c>
    </row>
    <row r="285" spans="1:14" s="60" customFormat="1" ht="77.25" hidden="1" customHeight="1" thickBot="1" x14ac:dyDescent="0.3">
      <c r="B285" s="62"/>
      <c r="C285" s="69" t="s">
        <v>176</v>
      </c>
      <c r="D285" s="79"/>
      <c r="E285" s="89"/>
      <c r="F285" s="79"/>
      <c r="G285" s="89"/>
      <c r="H285" s="93"/>
      <c r="I285" s="103"/>
      <c r="J285" s="103"/>
      <c r="K285" s="103"/>
      <c r="L285" s="110"/>
      <c r="M285" s="116"/>
      <c r="N285" s="116">
        <f>SUM(N279:N284)</f>
        <v>3</v>
      </c>
    </row>
    <row r="286" spans="1:14" s="53" customFormat="1" ht="77.25" hidden="1" customHeight="1" thickBot="1" x14ac:dyDescent="0.3">
      <c r="A286" s="53" t="s">
        <v>150</v>
      </c>
      <c r="B286" s="428" t="s">
        <v>170</v>
      </c>
      <c r="C286" s="67" t="s">
        <v>177</v>
      </c>
      <c r="D286" s="80">
        <v>1245</v>
      </c>
      <c r="E286" s="90">
        <v>0.65859999999999996</v>
      </c>
      <c r="F286" s="80">
        <v>1557</v>
      </c>
      <c r="G286" s="90">
        <v>0.65249999999999997</v>
      </c>
      <c r="H286" s="90">
        <f t="shared" si="33"/>
        <v>-6.0999999999999943E-3</v>
      </c>
      <c r="I286" s="100">
        <f t="shared" si="34"/>
        <v>1.8061778473683749E-2</v>
      </c>
      <c r="J286" s="100">
        <f t="shared" si="35"/>
        <v>-0.33772975396015265</v>
      </c>
      <c r="K286" s="100">
        <f t="shared" si="36"/>
        <v>0.73556685046015424</v>
      </c>
      <c r="L286" s="109" t="str">
        <f t="shared" si="37"/>
        <v>No</v>
      </c>
      <c r="M286" s="115">
        <f t="shared" si="38"/>
        <v>0</v>
      </c>
      <c r="N286" s="115">
        <v>1</v>
      </c>
    </row>
    <row r="287" spans="1:14" s="53" customFormat="1" ht="77.25" hidden="1" customHeight="1" thickBot="1" x14ac:dyDescent="0.3">
      <c r="A287" s="53" t="s">
        <v>150</v>
      </c>
      <c r="B287" s="429" t="s">
        <v>170</v>
      </c>
      <c r="C287" s="65" t="s">
        <v>178</v>
      </c>
      <c r="D287" s="74">
        <v>1317</v>
      </c>
      <c r="E287" s="84">
        <v>0.71679999999999999</v>
      </c>
      <c r="F287" s="74">
        <v>1628</v>
      </c>
      <c r="G287" s="84">
        <v>0.70760000000000001</v>
      </c>
      <c r="H287" s="90">
        <f t="shared" si="33"/>
        <v>-9.199999999999986E-3</v>
      </c>
      <c r="I287" s="101">
        <f t="shared" si="34"/>
        <v>1.6769803816299191E-2</v>
      </c>
      <c r="J287" s="101">
        <f t="shared" si="35"/>
        <v>-0.54860510598568635</v>
      </c>
      <c r="K287" s="101">
        <f t="shared" si="36"/>
        <v>0.58327648102310148</v>
      </c>
      <c r="L287" s="109" t="str">
        <f t="shared" si="37"/>
        <v>No</v>
      </c>
      <c r="M287" s="115">
        <f t="shared" si="38"/>
        <v>0</v>
      </c>
      <c r="N287" s="115">
        <v>1</v>
      </c>
    </row>
    <row r="288" spans="1:14" s="53" customFormat="1" ht="77.25" hidden="1" customHeight="1" thickBot="1" x14ac:dyDescent="0.3">
      <c r="A288" s="53" t="s">
        <v>150</v>
      </c>
      <c r="B288" s="430" t="s">
        <v>170</v>
      </c>
      <c r="C288" s="68" t="s">
        <v>179</v>
      </c>
      <c r="D288" s="75">
        <v>1288</v>
      </c>
      <c r="E288" s="85">
        <v>0.70889999999999997</v>
      </c>
      <c r="F288" s="75">
        <v>1604</v>
      </c>
      <c r="G288" s="85">
        <v>0.66080000000000005</v>
      </c>
      <c r="H288" s="90">
        <f t="shared" si="33"/>
        <v>-4.8099999999999921E-2</v>
      </c>
      <c r="I288" s="102">
        <f t="shared" si="34"/>
        <v>1.7319302931554252E-2</v>
      </c>
      <c r="J288" s="102">
        <f t="shared" si="35"/>
        <v>-2.7772480330236582</v>
      </c>
      <c r="K288" s="102">
        <f t="shared" si="36"/>
        <v>5.4821326675293935E-3</v>
      </c>
      <c r="L288" s="109" t="str">
        <f t="shared" si="37"/>
        <v>Yes</v>
      </c>
      <c r="M288" s="115">
        <f t="shared" si="38"/>
        <v>0</v>
      </c>
      <c r="N288" s="115">
        <v>0</v>
      </c>
    </row>
    <row r="289" spans="1:14" s="53" customFormat="1" ht="77.25" hidden="1" customHeight="1" thickBot="1" x14ac:dyDescent="0.3">
      <c r="A289" s="53" t="s">
        <v>150</v>
      </c>
      <c r="B289" s="428" t="s">
        <v>171</v>
      </c>
      <c r="C289" s="67" t="s">
        <v>177</v>
      </c>
      <c r="D289" s="76">
        <v>1414</v>
      </c>
      <c r="E289" s="86">
        <v>0.43070000000000003</v>
      </c>
      <c r="F289" s="76">
        <v>1760</v>
      </c>
      <c r="G289" s="86">
        <v>0.39939999999999998</v>
      </c>
      <c r="H289" s="90">
        <f t="shared" si="33"/>
        <v>-3.130000000000005E-2</v>
      </c>
      <c r="I289" s="100">
        <f t="shared" si="34"/>
        <v>1.7598359539643543E-2</v>
      </c>
      <c r="J289" s="100">
        <f t="shared" si="35"/>
        <v>-1.7785748682705931</v>
      </c>
      <c r="K289" s="100">
        <f t="shared" si="36"/>
        <v>7.5309487410264664E-2</v>
      </c>
      <c r="L289" s="109" t="str">
        <f t="shared" si="37"/>
        <v>No</v>
      </c>
      <c r="M289" s="115">
        <f t="shared" si="38"/>
        <v>0</v>
      </c>
      <c r="N289" s="115">
        <v>1</v>
      </c>
    </row>
    <row r="290" spans="1:14" s="53" customFormat="1" ht="77.25" hidden="1" customHeight="1" thickBot="1" x14ac:dyDescent="0.3">
      <c r="A290" s="53" t="s">
        <v>150</v>
      </c>
      <c r="B290" s="429" t="s">
        <v>171</v>
      </c>
      <c r="C290" s="65" t="s">
        <v>178</v>
      </c>
      <c r="D290" s="77">
        <v>1414</v>
      </c>
      <c r="E290" s="87">
        <v>0.37409999999999999</v>
      </c>
      <c r="F290" s="77">
        <v>1760</v>
      </c>
      <c r="G290" s="87">
        <v>0.38240000000000002</v>
      </c>
      <c r="H290" s="90">
        <f t="shared" si="33"/>
        <v>8.3000000000000296E-3</v>
      </c>
      <c r="I290" s="101">
        <f t="shared" si="34"/>
        <v>1.7314188485937722E-2</v>
      </c>
      <c r="J290" s="101">
        <f t="shared" si="35"/>
        <v>0.47937562922692811</v>
      </c>
      <c r="K290" s="101">
        <f t="shared" si="36"/>
        <v>0.63167142777778063</v>
      </c>
      <c r="L290" s="109" t="str">
        <f t="shared" si="37"/>
        <v>No</v>
      </c>
      <c r="M290" s="115">
        <f t="shared" si="38"/>
        <v>1</v>
      </c>
      <c r="N290" s="115">
        <v>1</v>
      </c>
    </row>
    <row r="291" spans="1:14" s="53" customFormat="1" ht="77.25" hidden="1" customHeight="1" thickBot="1" x14ac:dyDescent="0.3">
      <c r="A291" s="53" t="s">
        <v>150</v>
      </c>
      <c r="B291" s="430" t="s">
        <v>171</v>
      </c>
      <c r="C291" s="68" t="s">
        <v>179</v>
      </c>
      <c r="D291" s="78">
        <v>1414</v>
      </c>
      <c r="E291" s="88">
        <v>0.45900000000000002</v>
      </c>
      <c r="F291" s="78">
        <v>1760</v>
      </c>
      <c r="G291" s="88">
        <v>0.41699999999999998</v>
      </c>
      <c r="H291" s="90">
        <f t="shared" si="33"/>
        <v>-4.2000000000000037E-2</v>
      </c>
      <c r="I291" s="102">
        <f t="shared" si="34"/>
        <v>1.7712871551493762E-2</v>
      </c>
      <c r="J291" s="102">
        <f t="shared" si="35"/>
        <v>-2.3711570355998033</v>
      </c>
      <c r="K291" s="102">
        <f t="shared" si="36"/>
        <v>1.7732495215238231E-2</v>
      </c>
      <c r="L291" s="109" t="str">
        <f t="shared" si="37"/>
        <v>Yes</v>
      </c>
      <c r="M291" s="115">
        <f t="shared" si="38"/>
        <v>0</v>
      </c>
      <c r="N291" s="115">
        <v>0</v>
      </c>
    </row>
    <row r="292" spans="1:14" s="60" customFormat="1" ht="77.25" hidden="1" customHeight="1" thickBot="1" x14ac:dyDescent="0.3">
      <c r="B292" s="62"/>
      <c r="C292" s="69" t="s">
        <v>176</v>
      </c>
      <c r="D292" s="79"/>
      <c r="E292" s="89"/>
      <c r="F292" s="79"/>
      <c r="G292" s="89"/>
      <c r="H292" s="93"/>
      <c r="I292" s="103"/>
      <c r="J292" s="103"/>
      <c r="K292" s="103"/>
      <c r="L292" s="110"/>
      <c r="M292" s="116"/>
      <c r="N292" s="116">
        <f>SUM(N286:N291)</f>
        <v>4</v>
      </c>
    </row>
    <row r="293" spans="1:14" s="53" customFormat="1" ht="77.25" hidden="1" customHeight="1" thickBot="1" x14ac:dyDescent="0.3">
      <c r="A293" s="53" t="s">
        <v>151</v>
      </c>
      <c r="B293" s="428" t="s">
        <v>170</v>
      </c>
      <c r="C293" s="67" t="s">
        <v>177</v>
      </c>
      <c r="D293" s="80">
        <v>488</v>
      </c>
      <c r="E293" s="90">
        <v>0.64139999999999997</v>
      </c>
      <c r="F293" s="80">
        <v>354</v>
      </c>
      <c r="G293" s="90">
        <v>0.58189999999999997</v>
      </c>
      <c r="H293" s="90">
        <f t="shared" si="33"/>
        <v>-5.9499999999999997E-2</v>
      </c>
      <c r="I293" s="100">
        <f t="shared" si="34"/>
        <v>3.4038074135842283E-2</v>
      </c>
      <c r="J293" s="100">
        <f t="shared" si="35"/>
        <v>-1.7480424939008568</v>
      </c>
      <c r="K293" s="100">
        <f t="shared" si="36"/>
        <v>8.045666947825536E-2</v>
      </c>
      <c r="L293" s="109" t="str">
        <f t="shared" si="37"/>
        <v>No</v>
      </c>
      <c r="M293" s="115">
        <f t="shared" si="38"/>
        <v>0</v>
      </c>
      <c r="N293" s="115">
        <v>1</v>
      </c>
    </row>
    <row r="294" spans="1:14" s="53" customFormat="1" ht="77.25" hidden="1" customHeight="1" thickBot="1" x14ac:dyDescent="0.3">
      <c r="A294" s="53" t="s">
        <v>151</v>
      </c>
      <c r="B294" s="429" t="s">
        <v>170</v>
      </c>
      <c r="C294" s="65" t="s">
        <v>178</v>
      </c>
      <c r="D294" s="74">
        <v>552</v>
      </c>
      <c r="E294" s="84">
        <v>0.71199999999999997</v>
      </c>
      <c r="F294" s="74">
        <v>417</v>
      </c>
      <c r="G294" s="84">
        <v>0.71220000000000006</v>
      </c>
      <c r="H294" s="90">
        <f t="shared" si="33"/>
        <v>2.00000000000089E-4</v>
      </c>
      <c r="I294" s="101">
        <f t="shared" si="34"/>
        <v>2.9377130813379303E-2</v>
      </c>
      <c r="J294" s="101">
        <f t="shared" si="35"/>
        <v>6.8080167961468343E-3</v>
      </c>
      <c r="K294" s="101">
        <f t="shared" si="36"/>
        <v>0.99456803046984343</v>
      </c>
      <c r="L294" s="109" t="str">
        <f t="shared" si="37"/>
        <v>No</v>
      </c>
      <c r="M294" s="115">
        <f t="shared" si="38"/>
        <v>1</v>
      </c>
      <c r="N294" s="115">
        <v>1</v>
      </c>
    </row>
    <row r="295" spans="1:14" s="53" customFormat="1" ht="77.25" hidden="1" customHeight="1" thickBot="1" x14ac:dyDescent="0.3">
      <c r="A295" s="53" t="s">
        <v>151</v>
      </c>
      <c r="B295" s="430" t="s">
        <v>170</v>
      </c>
      <c r="C295" s="68" t="s">
        <v>179</v>
      </c>
      <c r="D295" s="75">
        <v>566</v>
      </c>
      <c r="E295" s="85">
        <v>0.70669999999999999</v>
      </c>
      <c r="F295" s="75">
        <v>417</v>
      </c>
      <c r="G295" s="85">
        <v>0.70020000000000004</v>
      </c>
      <c r="H295" s="90">
        <f t="shared" si="33"/>
        <v>-6.4999999999999503E-3</v>
      </c>
      <c r="I295" s="102">
        <f t="shared" si="34"/>
        <v>2.948924586272474E-2</v>
      </c>
      <c r="J295" s="102">
        <f t="shared" si="35"/>
        <v>-0.22041933626441557</v>
      </c>
      <c r="K295" s="102">
        <f t="shared" si="36"/>
        <v>0.82554458754177573</v>
      </c>
      <c r="L295" s="109" t="str">
        <f t="shared" si="37"/>
        <v>No</v>
      </c>
      <c r="M295" s="115">
        <f t="shared" si="38"/>
        <v>0</v>
      </c>
      <c r="N295" s="115">
        <v>1</v>
      </c>
    </row>
    <row r="296" spans="1:14" s="53" customFormat="1" ht="77.25" hidden="1" customHeight="1" thickBot="1" x14ac:dyDescent="0.3">
      <c r="A296" s="53" t="s">
        <v>151</v>
      </c>
      <c r="B296" s="428" t="s">
        <v>171</v>
      </c>
      <c r="C296" s="67" t="s">
        <v>177</v>
      </c>
      <c r="D296" s="76">
        <v>625</v>
      </c>
      <c r="E296" s="86">
        <v>0.4768</v>
      </c>
      <c r="F296" s="76">
        <v>452</v>
      </c>
      <c r="G296" s="86">
        <v>0.4027</v>
      </c>
      <c r="H296" s="90">
        <f t="shared" si="33"/>
        <v>-7.4099999999999999E-2</v>
      </c>
      <c r="I296" s="100">
        <f t="shared" si="34"/>
        <v>3.0517058004898446E-2</v>
      </c>
      <c r="J296" s="100">
        <f t="shared" si="35"/>
        <v>-2.4281501836810691</v>
      </c>
      <c r="K296" s="100">
        <f t="shared" si="36"/>
        <v>1.5176057473402782E-2</v>
      </c>
      <c r="L296" s="109" t="str">
        <f t="shared" si="37"/>
        <v>Yes</v>
      </c>
      <c r="M296" s="115">
        <f t="shared" si="38"/>
        <v>0</v>
      </c>
      <c r="N296" s="115">
        <v>0</v>
      </c>
    </row>
    <row r="297" spans="1:14" s="53" customFormat="1" ht="77.25" hidden="1" customHeight="1" thickBot="1" x14ac:dyDescent="0.3">
      <c r="A297" s="53" t="s">
        <v>151</v>
      </c>
      <c r="B297" s="429" t="s">
        <v>171</v>
      </c>
      <c r="C297" s="65" t="s">
        <v>178</v>
      </c>
      <c r="D297" s="77">
        <v>625</v>
      </c>
      <c r="E297" s="87">
        <v>0.44159999999999999</v>
      </c>
      <c r="F297" s="77">
        <v>452</v>
      </c>
      <c r="G297" s="87">
        <v>0.38719999999999999</v>
      </c>
      <c r="H297" s="90">
        <f t="shared" si="33"/>
        <v>-5.4400000000000004E-2</v>
      </c>
      <c r="I297" s="101">
        <f t="shared" si="34"/>
        <v>3.0323099456308358E-2</v>
      </c>
      <c r="J297" s="101">
        <f t="shared" si="35"/>
        <v>-1.7940118581342033</v>
      </c>
      <c r="K297" s="101">
        <f t="shared" si="36"/>
        <v>7.2811276151933502E-2</v>
      </c>
      <c r="L297" s="109" t="str">
        <f t="shared" si="37"/>
        <v>No</v>
      </c>
      <c r="M297" s="115">
        <f t="shared" si="38"/>
        <v>0</v>
      </c>
      <c r="N297" s="115">
        <v>1</v>
      </c>
    </row>
    <row r="298" spans="1:14" s="53" customFormat="1" ht="77.25" hidden="1" customHeight="1" thickBot="1" x14ac:dyDescent="0.3">
      <c r="A298" s="53" t="s">
        <v>151</v>
      </c>
      <c r="B298" s="430" t="s">
        <v>171</v>
      </c>
      <c r="C298" s="68" t="s">
        <v>179</v>
      </c>
      <c r="D298" s="78">
        <v>625</v>
      </c>
      <c r="E298" s="88">
        <v>0.4224</v>
      </c>
      <c r="F298" s="78">
        <v>452</v>
      </c>
      <c r="G298" s="88">
        <v>0.37609999999999999</v>
      </c>
      <c r="H298" s="90">
        <f t="shared" si="33"/>
        <v>-4.6300000000000008E-2</v>
      </c>
      <c r="I298" s="102">
        <f t="shared" si="34"/>
        <v>3.0157912314191154E-2</v>
      </c>
      <c r="J298" s="102">
        <f t="shared" si="35"/>
        <v>-1.535252159288659</v>
      </c>
      <c r="K298" s="102">
        <f t="shared" si="36"/>
        <v>0.12472190058466426</v>
      </c>
      <c r="L298" s="109" t="str">
        <f t="shared" si="37"/>
        <v>No</v>
      </c>
      <c r="M298" s="115">
        <f t="shared" si="38"/>
        <v>0</v>
      </c>
      <c r="N298" s="115">
        <v>1</v>
      </c>
    </row>
    <row r="299" spans="1:14" s="60" customFormat="1" ht="77.25" hidden="1" customHeight="1" thickBot="1" x14ac:dyDescent="0.3">
      <c r="B299" s="62"/>
      <c r="C299" s="69" t="s">
        <v>176</v>
      </c>
      <c r="D299" s="79"/>
      <c r="E299" s="89"/>
      <c r="F299" s="79"/>
      <c r="G299" s="89"/>
      <c r="H299" s="93"/>
      <c r="I299" s="103"/>
      <c r="J299" s="103"/>
      <c r="K299" s="103"/>
      <c r="L299" s="110"/>
      <c r="M299" s="116"/>
      <c r="N299" s="116">
        <f>SUM(N293:N298)</f>
        <v>5</v>
      </c>
    </row>
    <row r="300" spans="1:14" s="53" customFormat="1" ht="77.25" hidden="1" customHeight="1" thickBot="1" x14ac:dyDescent="0.3">
      <c r="A300" s="53" t="s">
        <v>152</v>
      </c>
      <c r="B300" s="428" t="s">
        <v>170</v>
      </c>
      <c r="C300" s="67" t="s">
        <v>177</v>
      </c>
      <c r="D300" s="80">
        <v>3281</v>
      </c>
      <c r="E300" s="90">
        <v>0.57599999999999996</v>
      </c>
      <c r="F300" s="80">
        <v>2945</v>
      </c>
      <c r="G300" s="90">
        <v>0.5806</v>
      </c>
      <c r="H300" s="90">
        <f t="shared" si="33"/>
        <v>4.6000000000000485E-3</v>
      </c>
      <c r="I300" s="100">
        <f t="shared" si="34"/>
        <v>1.2534735396390707E-2</v>
      </c>
      <c r="J300" s="100">
        <f t="shared" si="35"/>
        <v>0.36698022371693523</v>
      </c>
      <c r="K300" s="100">
        <f t="shared" si="36"/>
        <v>0.71363376959870561</v>
      </c>
      <c r="L300" s="109" t="str">
        <f t="shared" si="37"/>
        <v>No</v>
      </c>
      <c r="M300" s="115">
        <f t="shared" si="38"/>
        <v>1</v>
      </c>
      <c r="N300" s="115">
        <v>1</v>
      </c>
    </row>
    <row r="301" spans="1:14" s="53" customFormat="1" ht="77.25" hidden="1" customHeight="1" thickBot="1" x14ac:dyDescent="0.3">
      <c r="A301" s="53" t="s">
        <v>152</v>
      </c>
      <c r="B301" s="429" t="s">
        <v>170</v>
      </c>
      <c r="C301" s="65" t="s">
        <v>178</v>
      </c>
      <c r="D301" s="74">
        <v>3837</v>
      </c>
      <c r="E301" s="84">
        <v>0.58330000000000004</v>
      </c>
      <c r="F301" s="74">
        <v>3365</v>
      </c>
      <c r="G301" s="84">
        <v>0.5958</v>
      </c>
      <c r="H301" s="90">
        <f t="shared" si="33"/>
        <v>1.2499999999999956E-2</v>
      </c>
      <c r="I301" s="101">
        <f t="shared" si="34"/>
        <v>1.1615226076811628E-2</v>
      </c>
      <c r="J301" s="101">
        <f t="shared" si="35"/>
        <v>1.0761736291086637</v>
      </c>
      <c r="K301" s="101">
        <f t="shared" si="36"/>
        <v>0.28184961128140285</v>
      </c>
      <c r="L301" s="109" t="str">
        <f t="shared" si="37"/>
        <v>No</v>
      </c>
      <c r="M301" s="115">
        <f t="shared" si="38"/>
        <v>1</v>
      </c>
      <c r="N301" s="115">
        <v>1</v>
      </c>
    </row>
    <row r="302" spans="1:14" s="53" customFormat="1" ht="77.25" hidden="1" customHeight="1" thickBot="1" x14ac:dyDescent="0.3">
      <c r="A302" s="53" t="s">
        <v>152</v>
      </c>
      <c r="B302" s="430" t="s">
        <v>170</v>
      </c>
      <c r="C302" s="68" t="s">
        <v>179</v>
      </c>
      <c r="D302" s="75">
        <v>3819</v>
      </c>
      <c r="E302" s="85">
        <v>0.63500000000000001</v>
      </c>
      <c r="F302" s="75">
        <v>3365</v>
      </c>
      <c r="G302" s="85">
        <v>0.63480000000000003</v>
      </c>
      <c r="H302" s="90">
        <f t="shared" si="33"/>
        <v>-1.9999999999997797E-4</v>
      </c>
      <c r="I302" s="102">
        <f t="shared" si="34"/>
        <v>1.1383504045836742E-2</v>
      </c>
      <c r="J302" s="102">
        <f t="shared" si="35"/>
        <v>-1.7569282638690099E-2</v>
      </c>
      <c r="K302" s="102">
        <f t="shared" si="36"/>
        <v>0.98598246179681404</v>
      </c>
      <c r="L302" s="109" t="str">
        <f t="shared" si="37"/>
        <v>No</v>
      </c>
      <c r="M302" s="115">
        <f t="shared" si="38"/>
        <v>0</v>
      </c>
      <c r="N302" s="115">
        <v>1</v>
      </c>
    </row>
    <row r="303" spans="1:14" s="53" customFormat="1" ht="77.25" hidden="1" customHeight="1" thickBot="1" x14ac:dyDescent="0.3">
      <c r="A303" s="53" t="s">
        <v>152</v>
      </c>
      <c r="B303" s="428" t="s">
        <v>171</v>
      </c>
      <c r="C303" s="67" t="s">
        <v>177</v>
      </c>
      <c r="D303" s="76">
        <v>5835</v>
      </c>
      <c r="E303" s="86">
        <v>0.65759999999999996</v>
      </c>
      <c r="F303" s="76">
        <v>4889</v>
      </c>
      <c r="G303" s="86">
        <v>0.62570000000000003</v>
      </c>
      <c r="H303" s="90">
        <f t="shared" si="33"/>
        <v>-3.1899999999999928E-2</v>
      </c>
      <c r="I303" s="100">
        <f t="shared" si="34"/>
        <v>9.3000845400957512E-3</v>
      </c>
      <c r="J303" s="100">
        <f t="shared" si="35"/>
        <v>-3.4300763463459325</v>
      </c>
      <c r="K303" s="100">
        <f t="shared" si="36"/>
        <v>6.0341144210385167E-4</v>
      </c>
      <c r="L303" s="109" t="str">
        <f t="shared" si="37"/>
        <v>Yes</v>
      </c>
      <c r="M303" s="115">
        <f t="shared" si="38"/>
        <v>0</v>
      </c>
      <c r="N303" s="115">
        <v>0</v>
      </c>
    </row>
    <row r="304" spans="1:14" s="53" customFormat="1" ht="77.25" hidden="1" customHeight="1" thickBot="1" x14ac:dyDescent="0.3">
      <c r="A304" s="53" t="s">
        <v>152</v>
      </c>
      <c r="B304" s="429" t="s">
        <v>171</v>
      </c>
      <c r="C304" s="65" t="s">
        <v>178</v>
      </c>
      <c r="D304" s="77">
        <v>5835</v>
      </c>
      <c r="E304" s="87">
        <v>0.60429999999999995</v>
      </c>
      <c r="F304" s="77">
        <v>4889</v>
      </c>
      <c r="G304" s="87">
        <v>0.57599999999999996</v>
      </c>
      <c r="H304" s="90">
        <f t="shared" si="33"/>
        <v>-2.8299999999999992E-2</v>
      </c>
      <c r="I304" s="101">
        <f t="shared" si="34"/>
        <v>9.5359490301911431E-3</v>
      </c>
      <c r="J304" s="101">
        <f t="shared" si="35"/>
        <v>-2.9677172046957483</v>
      </c>
      <c r="K304" s="101">
        <f t="shared" si="36"/>
        <v>3.0002022270492201E-3</v>
      </c>
      <c r="L304" s="109" t="str">
        <f t="shared" si="37"/>
        <v>Yes</v>
      </c>
      <c r="M304" s="115">
        <f t="shared" si="38"/>
        <v>0</v>
      </c>
      <c r="N304" s="115">
        <v>0</v>
      </c>
    </row>
    <row r="305" spans="1:14" s="53" customFormat="1" ht="77.25" hidden="1" customHeight="1" thickBot="1" x14ac:dyDescent="0.3">
      <c r="A305" s="53" t="s">
        <v>152</v>
      </c>
      <c r="B305" s="430" t="s">
        <v>171</v>
      </c>
      <c r="C305" s="68" t="s">
        <v>179</v>
      </c>
      <c r="D305" s="78">
        <v>5835</v>
      </c>
      <c r="E305" s="88">
        <v>0.64280000000000004</v>
      </c>
      <c r="F305" s="78">
        <v>4889</v>
      </c>
      <c r="G305" s="88">
        <v>0.60950000000000004</v>
      </c>
      <c r="H305" s="90">
        <f t="shared" si="33"/>
        <v>-3.3299999999999996E-2</v>
      </c>
      <c r="I305" s="102">
        <f t="shared" si="34"/>
        <v>9.3825829082562987E-3</v>
      </c>
      <c r="J305" s="102">
        <f t="shared" si="35"/>
        <v>-3.5491293096592118</v>
      </c>
      <c r="K305" s="102">
        <f t="shared" si="36"/>
        <v>3.8650722860111841E-4</v>
      </c>
      <c r="L305" s="109" t="str">
        <f t="shared" si="37"/>
        <v>Yes</v>
      </c>
      <c r="M305" s="115">
        <f t="shared" si="38"/>
        <v>0</v>
      </c>
      <c r="N305" s="115">
        <v>0</v>
      </c>
    </row>
    <row r="306" spans="1:14" s="60" customFormat="1" ht="77.25" hidden="1" customHeight="1" thickBot="1" x14ac:dyDescent="0.3">
      <c r="B306" s="62"/>
      <c r="C306" s="69" t="s">
        <v>176</v>
      </c>
      <c r="D306" s="79"/>
      <c r="E306" s="89"/>
      <c r="F306" s="79"/>
      <c r="G306" s="89"/>
      <c r="H306" s="93"/>
      <c r="I306" s="103"/>
      <c r="J306" s="103"/>
      <c r="K306" s="103"/>
      <c r="L306" s="110"/>
      <c r="M306" s="116"/>
      <c r="N306" s="116">
        <f>SUM(N300:N305)</f>
        <v>3</v>
      </c>
    </row>
    <row r="307" spans="1:14" s="53" customFormat="1" ht="77.25" hidden="1" customHeight="1" thickBot="1" x14ac:dyDescent="0.3">
      <c r="A307" s="53" t="s">
        <v>153</v>
      </c>
      <c r="B307" s="428" t="s">
        <v>170</v>
      </c>
      <c r="C307" s="67" t="s">
        <v>177</v>
      </c>
      <c r="D307" s="80">
        <v>1053</v>
      </c>
      <c r="E307" s="90">
        <v>0.80820000000000003</v>
      </c>
      <c r="F307" s="80">
        <v>1094</v>
      </c>
      <c r="G307" s="90">
        <v>0.78149999999999997</v>
      </c>
      <c r="H307" s="90">
        <f t="shared" si="33"/>
        <v>-2.6700000000000057E-2</v>
      </c>
      <c r="I307" s="100">
        <f t="shared" si="34"/>
        <v>1.7415403899678956E-2</v>
      </c>
      <c r="J307" s="100">
        <f t="shared" si="35"/>
        <v>-1.5331255108296546</v>
      </c>
      <c r="K307" s="100">
        <f t="shared" si="36"/>
        <v>0.12524493315478136</v>
      </c>
      <c r="L307" s="109" t="str">
        <f t="shared" si="37"/>
        <v>No</v>
      </c>
      <c r="M307" s="115">
        <f t="shared" si="38"/>
        <v>0</v>
      </c>
      <c r="N307" s="115">
        <v>1</v>
      </c>
    </row>
    <row r="308" spans="1:14" s="53" customFormat="1" ht="77.25" hidden="1" customHeight="1" thickBot="1" x14ac:dyDescent="0.3">
      <c r="A308" s="53" t="s">
        <v>153</v>
      </c>
      <c r="B308" s="429" t="s">
        <v>170</v>
      </c>
      <c r="C308" s="65" t="s">
        <v>178</v>
      </c>
      <c r="D308" s="74">
        <v>1176</v>
      </c>
      <c r="E308" s="84">
        <v>0.86309999999999998</v>
      </c>
      <c r="F308" s="74">
        <v>1203</v>
      </c>
      <c r="G308" s="84">
        <v>0.83040000000000003</v>
      </c>
      <c r="H308" s="90">
        <f t="shared" si="33"/>
        <v>-3.2699999999999951E-2</v>
      </c>
      <c r="I308" s="101">
        <f t="shared" si="34"/>
        <v>1.4749418467158102E-2</v>
      </c>
      <c r="J308" s="101">
        <f t="shared" si="35"/>
        <v>-2.2170365613269185</v>
      </c>
      <c r="K308" s="101">
        <f t="shared" si="36"/>
        <v>2.6620593220642252E-2</v>
      </c>
      <c r="L308" s="109" t="str">
        <f t="shared" si="37"/>
        <v>Yes</v>
      </c>
      <c r="M308" s="115">
        <f t="shared" si="38"/>
        <v>0</v>
      </c>
      <c r="N308" s="115">
        <v>0</v>
      </c>
    </row>
    <row r="309" spans="1:14" s="53" customFormat="1" ht="77.25" hidden="1" customHeight="1" thickBot="1" x14ac:dyDescent="0.3">
      <c r="A309" s="53" t="s">
        <v>153</v>
      </c>
      <c r="B309" s="430" t="s">
        <v>170</v>
      </c>
      <c r="C309" s="68" t="s">
        <v>179</v>
      </c>
      <c r="D309" s="75">
        <v>1165</v>
      </c>
      <c r="E309" s="85">
        <v>0.85319999999999996</v>
      </c>
      <c r="F309" s="75">
        <v>1217</v>
      </c>
      <c r="G309" s="85">
        <v>0.84309999999999996</v>
      </c>
      <c r="H309" s="90">
        <f t="shared" si="33"/>
        <v>-1.0099999999999998E-2</v>
      </c>
      <c r="I309" s="102">
        <f t="shared" si="34"/>
        <v>1.4703944915513157E-2</v>
      </c>
      <c r="J309" s="102">
        <f t="shared" si="35"/>
        <v>-0.68689049490005627</v>
      </c>
      <c r="K309" s="102">
        <f t="shared" si="36"/>
        <v>0.49215173714580396</v>
      </c>
      <c r="L309" s="109" t="str">
        <f t="shared" si="37"/>
        <v>No</v>
      </c>
      <c r="M309" s="115">
        <f t="shared" si="38"/>
        <v>0</v>
      </c>
      <c r="N309" s="115">
        <v>1</v>
      </c>
    </row>
    <row r="310" spans="1:14" s="53" customFormat="1" ht="77.25" hidden="1" customHeight="1" thickBot="1" x14ac:dyDescent="0.3">
      <c r="A310" s="53" t="s">
        <v>153</v>
      </c>
      <c r="B310" s="428" t="s">
        <v>171</v>
      </c>
      <c r="C310" s="67" t="s">
        <v>177</v>
      </c>
      <c r="D310" s="76">
        <v>1249</v>
      </c>
      <c r="E310" s="86">
        <v>0.55959999999999999</v>
      </c>
      <c r="F310" s="76">
        <v>1263</v>
      </c>
      <c r="G310" s="86">
        <v>0.52410000000000001</v>
      </c>
      <c r="H310" s="90">
        <f t="shared" si="33"/>
        <v>-3.5499999999999976E-2</v>
      </c>
      <c r="I310" s="100">
        <f t="shared" si="34"/>
        <v>1.9869516069670967E-2</v>
      </c>
      <c r="J310" s="100">
        <f t="shared" si="35"/>
        <v>-1.7866564981010051</v>
      </c>
      <c r="K310" s="100">
        <f t="shared" si="36"/>
        <v>7.3993024139256569E-2</v>
      </c>
      <c r="L310" s="109" t="str">
        <f t="shared" si="37"/>
        <v>No</v>
      </c>
      <c r="M310" s="115">
        <f t="shared" si="38"/>
        <v>0</v>
      </c>
      <c r="N310" s="115">
        <v>1</v>
      </c>
    </row>
    <row r="311" spans="1:14" s="53" customFormat="1" ht="77.25" hidden="1" customHeight="1" thickBot="1" x14ac:dyDescent="0.3">
      <c r="A311" s="53" t="s">
        <v>153</v>
      </c>
      <c r="B311" s="429" t="s">
        <v>171</v>
      </c>
      <c r="C311" s="65" t="s">
        <v>178</v>
      </c>
      <c r="D311" s="77">
        <v>1249</v>
      </c>
      <c r="E311" s="87">
        <v>0.4924</v>
      </c>
      <c r="F311" s="77">
        <v>1263</v>
      </c>
      <c r="G311" s="87">
        <v>0.46479999999999999</v>
      </c>
      <c r="H311" s="90">
        <f t="shared" si="33"/>
        <v>-2.7600000000000013E-2</v>
      </c>
      <c r="I311" s="101">
        <f t="shared" si="34"/>
        <v>1.9926722338457752E-2</v>
      </c>
      <c r="J311" s="101">
        <f t="shared" si="35"/>
        <v>-1.3850747519441846</v>
      </c>
      <c r="K311" s="101">
        <f t="shared" si="36"/>
        <v>0.166029611229223</v>
      </c>
      <c r="L311" s="109" t="str">
        <f t="shared" si="37"/>
        <v>No</v>
      </c>
      <c r="M311" s="115">
        <f t="shared" si="38"/>
        <v>0</v>
      </c>
      <c r="N311" s="115">
        <v>1</v>
      </c>
    </row>
    <row r="312" spans="1:14" s="53" customFormat="1" ht="77.25" hidden="1" customHeight="1" thickBot="1" x14ac:dyDescent="0.3">
      <c r="A312" s="53" t="s">
        <v>153</v>
      </c>
      <c r="B312" s="430" t="s">
        <v>171</v>
      </c>
      <c r="C312" s="68" t="s">
        <v>179</v>
      </c>
      <c r="D312" s="78">
        <v>1249</v>
      </c>
      <c r="E312" s="88">
        <v>0.50519999999999998</v>
      </c>
      <c r="F312" s="78">
        <v>1263</v>
      </c>
      <c r="G312" s="88">
        <v>0.4703</v>
      </c>
      <c r="H312" s="90">
        <f t="shared" si="33"/>
        <v>-3.4899999999999987E-2</v>
      </c>
      <c r="I312" s="102">
        <f t="shared" si="34"/>
        <v>1.9934429502114978E-2</v>
      </c>
      <c r="J312" s="102">
        <f t="shared" si="35"/>
        <v>-1.7507398441624431</v>
      </c>
      <c r="K312" s="102">
        <f t="shared" si="36"/>
        <v>7.9990732806978437E-2</v>
      </c>
      <c r="L312" s="109" t="str">
        <f t="shared" si="37"/>
        <v>No</v>
      </c>
      <c r="M312" s="115">
        <f t="shared" si="38"/>
        <v>0</v>
      </c>
      <c r="N312" s="115">
        <v>1</v>
      </c>
    </row>
    <row r="313" spans="1:14" s="60" customFormat="1" ht="77.25" hidden="1" customHeight="1" thickBot="1" x14ac:dyDescent="0.3">
      <c r="B313" s="62"/>
      <c r="C313" s="69" t="s">
        <v>176</v>
      </c>
      <c r="D313" s="79"/>
      <c r="E313" s="89"/>
      <c r="F313" s="79"/>
      <c r="G313" s="89"/>
      <c r="H313" s="93"/>
      <c r="I313" s="103"/>
      <c r="J313" s="103"/>
      <c r="K313" s="103"/>
      <c r="L313" s="110"/>
      <c r="M313" s="116"/>
      <c r="N313" s="116">
        <f>SUM(N307:N312)</f>
        <v>5</v>
      </c>
    </row>
    <row r="314" spans="1:14" s="53" customFormat="1" ht="77.25" hidden="1" customHeight="1" thickBot="1" x14ac:dyDescent="0.3">
      <c r="A314" s="53" t="s">
        <v>154</v>
      </c>
      <c r="B314" s="428" t="s">
        <v>170</v>
      </c>
      <c r="C314" s="67" t="s">
        <v>177</v>
      </c>
      <c r="D314" s="80">
        <v>1459</v>
      </c>
      <c r="E314" s="90">
        <v>0.83</v>
      </c>
      <c r="F314" s="80">
        <v>1528</v>
      </c>
      <c r="G314" s="90">
        <v>0.82720000000000005</v>
      </c>
      <c r="H314" s="90">
        <f t="shared" si="33"/>
        <v>-2.7999999999999137E-3</v>
      </c>
      <c r="I314" s="100">
        <f t="shared" si="34"/>
        <v>1.3793378865419292E-2</v>
      </c>
      <c r="J314" s="100">
        <f t="shared" si="35"/>
        <v>-0.20299594662912199</v>
      </c>
      <c r="K314" s="100">
        <f t="shared" si="36"/>
        <v>0.83913820037953579</v>
      </c>
      <c r="L314" s="109" t="str">
        <f t="shared" si="37"/>
        <v>No</v>
      </c>
      <c r="M314" s="115">
        <f t="shared" si="38"/>
        <v>0</v>
      </c>
      <c r="N314" s="115">
        <v>1</v>
      </c>
    </row>
    <row r="315" spans="1:14" s="53" customFormat="1" ht="77.25" hidden="1" customHeight="1" thickBot="1" x14ac:dyDescent="0.3">
      <c r="A315" s="53" t="s">
        <v>154</v>
      </c>
      <c r="B315" s="429" t="s">
        <v>170</v>
      </c>
      <c r="C315" s="65" t="s">
        <v>178</v>
      </c>
      <c r="D315" s="74">
        <v>1754</v>
      </c>
      <c r="E315" s="84">
        <v>0.62029999999999996</v>
      </c>
      <c r="F315" s="74">
        <v>1855</v>
      </c>
      <c r="G315" s="84">
        <v>0.61240000000000006</v>
      </c>
      <c r="H315" s="90">
        <f t="shared" si="33"/>
        <v>-7.8999999999999071E-3</v>
      </c>
      <c r="I315" s="101">
        <f t="shared" si="34"/>
        <v>1.6193847214169131E-2</v>
      </c>
      <c r="J315" s="101">
        <f t="shared" si="35"/>
        <v>-0.48783960324682102</v>
      </c>
      <c r="K315" s="101">
        <f t="shared" si="36"/>
        <v>0.62566345728636463</v>
      </c>
      <c r="L315" s="109" t="str">
        <f t="shared" si="37"/>
        <v>No</v>
      </c>
      <c r="M315" s="115">
        <f t="shared" si="38"/>
        <v>0</v>
      </c>
      <c r="N315" s="115">
        <v>1</v>
      </c>
    </row>
    <row r="316" spans="1:14" s="53" customFormat="1" ht="77.25" hidden="1" customHeight="1" thickBot="1" x14ac:dyDescent="0.3">
      <c r="A316" s="53" t="s">
        <v>154</v>
      </c>
      <c r="B316" s="430" t="s">
        <v>170</v>
      </c>
      <c r="C316" s="68" t="s">
        <v>179</v>
      </c>
      <c r="D316" s="75">
        <v>1726</v>
      </c>
      <c r="E316" s="85">
        <v>0.66739999999999999</v>
      </c>
      <c r="F316" s="75">
        <v>1819</v>
      </c>
      <c r="G316" s="85">
        <v>0.65969999999999995</v>
      </c>
      <c r="H316" s="90">
        <f t="shared" si="33"/>
        <v>-7.7000000000000401E-3</v>
      </c>
      <c r="I316" s="102">
        <f t="shared" si="34"/>
        <v>1.5875298908032638E-2</v>
      </c>
      <c r="J316" s="102">
        <f t="shared" si="35"/>
        <v>-0.48503023751596686</v>
      </c>
      <c r="K316" s="102">
        <f t="shared" si="36"/>
        <v>0.62765489663834728</v>
      </c>
      <c r="L316" s="109" t="str">
        <f t="shared" si="37"/>
        <v>No</v>
      </c>
      <c r="M316" s="115">
        <f t="shared" si="38"/>
        <v>0</v>
      </c>
      <c r="N316" s="115">
        <v>1</v>
      </c>
    </row>
    <row r="317" spans="1:14" s="53" customFormat="1" ht="77.25" hidden="1" customHeight="1" thickBot="1" x14ac:dyDescent="0.3">
      <c r="A317" s="53" t="s">
        <v>154</v>
      </c>
      <c r="B317" s="428" t="s">
        <v>171</v>
      </c>
      <c r="C317" s="67" t="s">
        <v>177</v>
      </c>
      <c r="D317" s="76">
        <v>1815</v>
      </c>
      <c r="E317" s="86">
        <v>0.58020000000000005</v>
      </c>
      <c r="F317" s="76">
        <v>1908</v>
      </c>
      <c r="G317" s="86">
        <v>0.59589999999999999</v>
      </c>
      <c r="H317" s="90">
        <f t="shared" si="33"/>
        <v>1.5699999999999936E-2</v>
      </c>
      <c r="I317" s="100">
        <f t="shared" si="34"/>
        <v>1.613704885603329E-2</v>
      </c>
      <c r="J317" s="100">
        <f t="shared" si="35"/>
        <v>0.9729164322465349</v>
      </c>
      <c r="K317" s="100">
        <f t="shared" si="36"/>
        <v>0.33059483735124262</v>
      </c>
      <c r="L317" s="109" t="str">
        <f t="shared" si="37"/>
        <v>No</v>
      </c>
      <c r="M317" s="115">
        <f t="shared" si="38"/>
        <v>1</v>
      </c>
      <c r="N317" s="115">
        <v>1</v>
      </c>
    </row>
    <row r="318" spans="1:14" s="53" customFormat="1" ht="77.25" hidden="1" customHeight="1" thickBot="1" x14ac:dyDescent="0.3">
      <c r="A318" s="53" t="s">
        <v>154</v>
      </c>
      <c r="B318" s="429" t="s">
        <v>171</v>
      </c>
      <c r="C318" s="65" t="s">
        <v>178</v>
      </c>
      <c r="D318" s="77">
        <v>1815</v>
      </c>
      <c r="E318" s="87">
        <v>9.7000000000000003E-2</v>
      </c>
      <c r="F318" s="77">
        <v>1908</v>
      </c>
      <c r="G318" s="87">
        <v>9.2200000000000004E-2</v>
      </c>
      <c r="H318" s="90">
        <f t="shared" si="33"/>
        <v>-4.7999999999999987E-3</v>
      </c>
      <c r="I318" s="101">
        <f t="shared" si="34"/>
        <v>9.5982804923049076E-3</v>
      </c>
      <c r="J318" s="101">
        <f t="shared" si="35"/>
        <v>-0.50008957373648688</v>
      </c>
      <c r="K318" s="101">
        <f t="shared" si="36"/>
        <v>0.6170120072508154</v>
      </c>
      <c r="L318" s="109" t="str">
        <f t="shared" si="37"/>
        <v>No</v>
      </c>
      <c r="M318" s="115">
        <f t="shared" si="38"/>
        <v>0</v>
      </c>
      <c r="N318" s="115">
        <v>1</v>
      </c>
    </row>
    <row r="319" spans="1:14" s="53" customFormat="1" ht="77.25" hidden="1" customHeight="1" thickBot="1" x14ac:dyDescent="0.3">
      <c r="A319" s="53" t="s">
        <v>154</v>
      </c>
      <c r="B319" s="430" t="s">
        <v>171</v>
      </c>
      <c r="C319" s="68" t="s">
        <v>179</v>
      </c>
      <c r="D319" s="78">
        <v>1815</v>
      </c>
      <c r="E319" s="88">
        <v>0.15429999999999999</v>
      </c>
      <c r="F319" s="78">
        <v>1908</v>
      </c>
      <c r="G319" s="88">
        <v>0.14729999999999999</v>
      </c>
      <c r="H319" s="90">
        <f t="shared" si="33"/>
        <v>-7.0000000000000062E-3</v>
      </c>
      <c r="I319" s="102">
        <f t="shared" si="34"/>
        <v>1.1735657686680664E-2</v>
      </c>
      <c r="J319" s="102">
        <f t="shared" si="35"/>
        <v>-0.59647274885536472</v>
      </c>
      <c r="K319" s="102">
        <f t="shared" si="36"/>
        <v>0.55085945358610533</v>
      </c>
      <c r="L319" s="109" t="str">
        <f t="shared" si="37"/>
        <v>No</v>
      </c>
      <c r="M319" s="115">
        <f t="shared" si="38"/>
        <v>0</v>
      </c>
      <c r="N319" s="115">
        <v>1</v>
      </c>
    </row>
    <row r="320" spans="1:14" s="60" customFormat="1" ht="77.25" hidden="1" customHeight="1" thickBot="1" x14ac:dyDescent="0.3">
      <c r="B320" s="62"/>
      <c r="C320" s="69" t="s">
        <v>176</v>
      </c>
      <c r="D320" s="79"/>
      <c r="E320" s="89"/>
      <c r="F320" s="79"/>
      <c r="G320" s="89"/>
      <c r="H320" s="93"/>
      <c r="I320" s="103"/>
      <c r="J320" s="103"/>
      <c r="K320" s="103"/>
      <c r="L320" s="110"/>
      <c r="M320" s="116"/>
      <c r="N320" s="116">
        <f>SUM(N314:N319)</f>
        <v>6</v>
      </c>
    </row>
    <row r="321" spans="1:14" s="53" customFormat="1" ht="77.25" hidden="1" customHeight="1" thickBot="1" x14ac:dyDescent="0.3">
      <c r="A321" s="53" t="s">
        <v>155</v>
      </c>
      <c r="B321" s="428" t="s">
        <v>170</v>
      </c>
      <c r="C321" s="67" t="s">
        <v>177</v>
      </c>
      <c r="D321" s="80">
        <v>7569</v>
      </c>
      <c r="E321" s="90">
        <v>0.7319</v>
      </c>
      <c r="F321" s="80">
        <v>7180</v>
      </c>
      <c r="G321" s="90">
        <v>0.73129999999999995</v>
      </c>
      <c r="H321" s="90">
        <f t="shared" si="33"/>
        <v>-6.0000000000004494E-4</v>
      </c>
      <c r="I321" s="100">
        <f t="shared" si="34"/>
        <v>7.300151458294225E-3</v>
      </c>
      <c r="J321" s="100">
        <f t="shared" si="35"/>
        <v>-8.2190075565944862E-2</v>
      </c>
      <c r="K321" s="100">
        <f t="shared" si="36"/>
        <v>0.93449556529581335</v>
      </c>
      <c r="L321" s="109" t="str">
        <f t="shared" si="37"/>
        <v>No</v>
      </c>
      <c r="M321" s="115">
        <f t="shared" si="38"/>
        <v>0</v>
      </c>
      <c r="N321" s="115">
        <v>1</v>
      </c>
    </row>
    <row r="322" spans="1:14" s="53" customFormat="1" ht="77.25" hidden="1" customHeight="1" thickBot="1" x14ac:dyDescent="0.3">
      <c r="A322" s="53" t="s">
        <v>155</v>
      </c>
      <c r="B322" s="429" t="s">
        <v>170</v>
      </c>
      <c r="C322" s="65" t="s">
        <v>178</v>
      </c>
      <c r="D322" s="74">
        <v>9780</v>
      </c>
      <c r="E322" s="84">
        <v>0.81930000000000003</v>
      </c>
      <c r="F322" s="74">
        <v>9008</v>
      </c>
      <c r="G322" s="84">
        <v>0.80510000000000004</v>
      </c>
      <c r="H322" s="90">
        <f t="shared" si="33"/>
        <v>-1.419999999999999E-2</v>
      </c>
      <c r="I322" s="101">
        <f t="shared" si="34"/>
        <v>5.705890471418255E-3</v>
      </c>
      <c r="J322" s="101">
        <f t="shared" si="35"/>
        <v>-2.4886562528899088</v>
      </c>
      <c r="K322" s="101">
        <f t="shared" si="36"/>
        <v>1.2822687721177894E-2</v>
      </c>
      <c r="L322" s="109" t="str">
        <f t="shared" si="37"/>
        <v>Yes</v>
      </c>
      <c r="M322" s="115">
        <f t="shared" si="38"/>
        <v>0</v>
      </c>
      <c r="N322" s="115">
        <v>0</v>
      </c>
    </row>
    <row r="323" spans="1:14" s="53" customFormat="1" ht="77.25" hidden="1" customHeight="1" thickBot="1" x14ac:dyDescent="0.3">
      <c r="A323" s="53" t="s">
        <v>155</v>
      </c>
      <c r="B323" s="430" t="s">
        <v>170</v>
      </c>
      <c r="C323" s="68" t="s">
        <v>179</v>
      </c>
      <c r="D323" s="75">
        <v>9023</v>
      </c>
      <c r="E323" s="85">
        <v>0.81410000000000005</v>
      </c>
      <c r="F323" s="75">
        <v>8494</v>
      </c>
      <c r="G323" s="85">
        <v>0.80559999999999998</v>
      </c>
      <c r="H323" s="90">
        <f t="shared" si="33"/>
        <v>-8.5000000000000631E-3</v>
      </c>
      <c r="I323" s="102">
        <f t="shared" si="34"/>
        <v>5.9338338808501813E-3</v>
      </c>
      <c r="J323" s="102">
        <f t="shared" si="35"/>
        <v>-1.4324634242679894</v>
      </c>
      <c r="K323" s="102">
        <f t="shared" si="36"/>
        <v>0.15201123845858699</v>
      </c>
      <c r="L323" s="109" t="str">
        <f t="shared" si="37"/>
        <v>No</v>
      </c>
      <c r="M323" s="115">
        <f t="shared" si="38"/>
        <v>0</v>
      </c>
      <c r="N323" s="115">
        <v>1</v>
      </c>
    </row>
    <row r="324" spans="1:14" s="53" customFormat="1" ht="77.25" hidden="1" customHeight="1" thickBot="1" x14ac:dyDescent="0.3">
      <c r="A324" s="53" t="s">
        <v>155</v>
      </c>
      <c r="B324" s="428" t="s">
        <v>171</v>
      </c>
      <c r="C324" s="67" t="s">
        <v>177</v>
      </c>
      <c r="D324" s="76">
        <v>11591</v>
      </c>
      <c r="E324" s="86">
        <v>0.65200000000000002</v>
      </c>
      <c r="F324" s="76">
        <v>10574</v>
      </c>
      <c r="G324" s="86">
        <v>0.63819999999999999</v>
      </c>
      <c r="H324" s="90">
        <f t="shared" si="33"/>
        <v>-1.3800000000000034E-2</v>
      </c>
      <c r="I324" s="100">
        <f t="shared" si="34"/>
        <v>6.4352031678321176E-3</v>
      </c>
      <c r="J324" s="100">
        <f t="shared" si="35"/>
        <v>-2.1444544391360623</v>
      </c>
      <c r="K324" s="100">
        <f t="shared" si="36"/>
        <v>3.19964922913476E-2</v>
      </c>
      <c r="L324" s="109" t="str">
        <f t="shared" si="37"/>
        <v>Yes</v>
      </c>
      <c r="M324" s="115">
        <f t="shared" si="38"/>
        <v>0</v>
      </c>
      <c r="N324" s="115">
        <v>0</v>
      </c>
    </row>
    <row r="325" spans="1:14" s="53" customFormat="1" ht="77.25" hidden="1" customHeight="1" thickBot="1" x14ac:dyDescent="0.3">
      <c r="A325" s="53" t="s">
        <v>155</v>
      </c>
      <c r="B325" s="429" t="s">
        <v>171</v>
      </c>
      <c r="C325" s="65" t="s">
        <v>178</v>
      </c>
      <c r="D325" s="77">
        <v>11606</v>
      </c>
      <c r="E325" s="87">
        <v>0.55940000000000001</v>
      </c>
      <c r="F325" s="77">
        <v>10583</v>
      </c>
      <c r="G325" s="87">
        <v>0.53669999999999995</v>
      </c>
      <c r="H325" s="90">
        <f t="shared" si="33"/>
        <v>-2.2700000000000053E-2</v>
      </c>
      <c r="I325" s="101">
        <f t="shared" si="34"/>
        <v>6.6882054994564745E-3</v>
      </c>
      <c r="J325" s="101">
        <f t="shared" si="35"/>
        <v>-3.3940344688638526</v>
      </c>
      <c r="K325" s="101">
        <f t="shared" si="36"/>
        <v>6.8871023530570064E-4</v>
      </c>
      <c r="L325" s="109" t="str">
        <f t="shared" si="37"/>
        <v>Yes</v>
      </c>
      <c r="M325" s="115">
        <f t="shared" si="38"/>
        <v>0</v>
      </c>
      <c r="N325" s="115">
        <v>0</v>
      </c>
    </row>
    <row r="326" spans="1:14" s="53" customFormat="1" ht="77.25" hidden="1" customHeight="1" thickBot="1" x14ac:dyDescent="0.3">
      <c r="A326" s="53" t="s">
        <v>155</v>
      </c>
      <c r="B326" s="430" t="s">
        <v>171</v>
      </c>
      <c r="C326" s="68" t="s">
        <v>179</v>
      </c>
      <c r="D326" s="78">
        <v>11590</v>
      </c>
      <c r="E326" s="88">
        <v>0.63370000000000004</v>
      </c>
      <c r="F326" s="78">
        <v>10582</v>
      </c>
      <c r="G326" s="88">
        <v>0.60729999999999995</v>
      </c>
      <c r="H326" s="90">
        <f t="shared" si="33"/>
        <v>-2.640000000000009E-2</v>
      </c>
      <c r="I326" s="102">
        <f t="shared" si="34"/>
        <v>6.5241856589882902E-3</v>
      </c>
      <c r="J326" s="102">
        <f t="shared" si="35"/>
        <v>-4.0464820254814695</v>
      </c>
      <c r="K326" s="102">
        <f t="shared" si="36"/>
        <v>5.199311504400228E-5</v>
      </c>
      <c r="L326" s="109" t="str">
        <f t="shared" si="37"/>
        <v>Yes</v>
      </c>
      <c r="M326" s="115">
        <f t="shared" si="38"/>
        <v>0</v>
      </c>
      <c r="N326" s="115">
        <v>0</v>
      </c>
    </row>
    <row r="327" spans="1:14" s="60" customFormat="1" ht="77.25" hidden="1" customHeight="1" thickBot="1" x14ac:dyDescent="0.3">
      <c r="B327" s="62"/>
      <c r="C327" s="69" t="s">
        <v>176</v>
      </c>
      <c r="D327" s="79"/>
      <c r="E327" s="89"/>
      <c r="F327" s="79"/>
      <c r="G327" s="89"/>
      <c r="H327" s="93"/>
      <c r="I327" s="103"/>
      <c r="J327" s="103"/>
      <c r="K327" s="103"/>
      <c r="L327" s="110"/>
      <c r="M327" s="116"/>
      <c r="N327" s="116">
        <f>SUM(N321:N326)</f>
        <v>2</v>
      </c>
    </row>
    <row r="328" spans="1:14" s="53" customFormat="1" ht="77.25" hidden="1" customHeight="1" thickBot="1" x14ac:dyDescent="0.3">
      <c r="A328" s="53" t="s">
        <v>156</v>
      </c>
      <c r="B328" s="428" t="s">
        <v>170</v>
      </c>
      <c r="C328" s="67" t="s">
        <v>177</v>
      </c>
      <c r="D328" s="80">
        <v>584</v>
      </c>
      <c r="E328" s="90">
        <v>0.3921</v>
      </c>
      <c r="F328" s="80">
        <v>523</v>
      </c>
      <c r="G328" s="90">
        <v>0.43790000000000001</v>
      </c>
      <c r="H328" s="90">
        <f t="shared" si="33"/>
        <v>4.5800000000000007E-2</v>
      </c>
      <c r="I328" s="100">
        <f t="shared" si="34"/>
        <v>2.9644297893647666E-2</v>
      </c>
      <c r="J328" s="100">
        <f t="shared" si="35"/>
        <v>1.5449851490601256</v>
      </c>
      <c r="K328" s="100">
        <f t="shared" si="36"/>
        <v>0.12234985558842593</v>
      </c>
      <c r="L328" s="109" t="str">
        <f t="shared" si="37"/>
        <v>No</v>
      </c>
      <c r="M328" s="115">
        <f t="shared" si="38"/>
        <v>1</v>
      </c>
      <c r="N328" s="115">
        <v>1</v>
      </c>
    </row>
    <row r="329" spans="1:14" s="53" customFormat="1" ht="77.25" hidden="1" customHeight="1" thickBot="1" x14ac:dyDescent="0.3">
      <c r="A329" s="53" t="s">
        <v>156</v>
      </c>
      <c r="B329" s="429" t="s">
        <v>170</v>
      </c>
      <c r="C329" s="65" t="s">
        <v>178</v>
      </c>
      <c r="D329" s="74">
        <v>792</v>
      </c>
      <c r="E329" s="84">
        <v>0.31309999999999999</v>
      </c>
      <c r="F329" s="74">
        <v>772</v>
      </c>
      <c r="G329" s="84">
        <v>0.46629999999999999</v>
      </c>
      <c r="H329" s="90">
        <f t="shared" si="33"/>
        <v>0.1532</v>
      </c>
      <c r="I329" s="101">
        <f t="shared" si="34"/>
        <v>2.4370352753492711E-2</v>
      </c>
      <c r="J329" s="101">
        <f t="shared" si="35"/>
        <v>6.2863267327159917</v>
      </c>
      <c r="K329" s="101">
        <f t="shared" si="36"/>
        <v>3.2506553004907346E-10</v>
      </c>
      <c r="L329" s="109" t="str">
        <f t="shared" si="37"/>
        <v>Yes</v>
      </c>
      <c r="M329" s="115">
        <f t="shared" si="38"/>
        <v>1</v>
      </c>
      <c r="N329" s="115">
        <v>2</v>
      </c>
    </row>
    <row r="330" spans="1:14" s="53" customFormat="1" ht="77.25" hidden="1" customHeight="1" thickBot="1" x14ac:dyDescent="0.3">
      <c r="A330" s="53" t="s">
        <v>156</v>
      </c>
      <c r="B330" s="430" t="s">
        <v>170</v>
      </c>
      <c r="C330" s="68" t="s">
        <v>179</v>
      </c>
      <c r="D330" s="75">
        <v>610</v>
      </c>
      <c r="E330" s="85">
        <v>0.29020000000000001</v>
      </c>
      <c r="F330" s="75">
        <v>555</v>
      </c>
      <c r="G330" s="85">
        <v>0.38019999999999998</v>
      </c>
      <c r="H330" s="90">
        <f t="shared" si="33"/>
        <v>8.9999999999999969E-2</v>
      </c>
      <c r="I330" s="102">
        <f t="shared" si="34"/>
        <v>2.7609229287862032E-2</v>
      </c>
      <c r="J330" s="102">
        <f t="shared" si="35"/>
        <v>3.2597795129169747</v>
      </c>
      <c r="K330" s="102">
        <f t="shared" si="36"/>
        <v>1.1149885516958946E-3</v>
      </c>
      <c r="L330" s="109" t="str">
        <f t="shared" si="37"/>
        <v>Yes</v>
      </c>
      <c r="M330" s="115">
        <f t="shared" si="38"/>
        <v>1</v>
      </c>
      <c r="N330" s="115">
        <v>2</v>
      </c>
    </row>
    <row r="331" spans="1:14" s="53" customFormat="1" ht="77.25" hidden="1" customHeight="1" thickBot="1" x14ac:dyDescent="0.3">
      <c r="A331" s="53" t="s">
        <v>156</v>
      </c>
      <c r="B331" s="428" t="s">
        <v>171</v>
      </c>
      <c r="C331" s="67" t="s">
        <v>177</v>
      </c>
      <c r="D331" s="76">
        <v>819</v>
      </c>
      <c r="E331" s="86">
        <v>0.4652</v>
      </c>
      <c r="F331" s="76">
        <v>816</v>
      </c>
      <c r="G331" s="86">
        <v>0.56989999999999996</v>
      </c>
      <c r="H331" s="90">
        <f t="shared" si="33"/>
        <v>0.10469999999999996</v>
      </c>
      <c r="I331" s="100">
        <f t="shared" si="34"/>
        <v>2.4579593479109669E-2</v>
      </c>
      <c r="J331" s="100">
        <f t="shared" si="35"/>
        <v>4.2596310670876258</v>
      </c>
      <c r="K331" s="100">
        <f t="shared" si="36"/>
        <v>2.0476460091733983E-5</v>
      </c>
      <c r="L331" s="109" t="str">
        <f t="shared" si="37"/>
        <v>Yes</v>
      </c>
      <c r="M331" s="115">
        <f t="shared" si="38"/>
        <v>1</v>
      </c>
      <c r="N331" s="115">
        <v>2</v>
      </c>
    </row>
    <row r="332" spans="1:14" s="53" customFormat="1" ht="77.25" hidden="1" customHeight="1" thickBot="1" x14ac:dyDescent="0.3">
      <c r="A332" s="53" t="s">
        <v>156</v>
      </c>
      <c r="B332" s="429" t="s">
        <v>171</v>
      </c>
      <c r="C332" s="65" t="s">
        <v>178</v>
      </c>
      <c r="D332" s="77">
        <v>819</v>
      </c>
      <c r="E332" s="87">
        <v>0.1258</v>
      </c>
      <c r="F332" s="77">
        <v>816</v>
      </c>
      <c r="G332" s="87">
        <v>0.3468</v>
      </c>
      <c r="H332" s="90">
        <f t="shared" ref="H332:H406" si="39">G332-E332</f>
        <v>0.221</v>
      </c>
      <c r="I332" s="101">
        <f t="shared" si="34"/>
        <v>2.0295044415788499E-2</v>
      </c>
      <c r="J332" s="101">
        <f t="shared" si="35"/>
        <v>10.8893577896323</v>
      </c>
      <c r="K332" s="101">
        <f t="shared" si="36"/>
        <v>0</v>
      </c>
      <c r="L332" s="109" t="str">
        <f t="shared" si="37"/>
        <v>Yes</v>
      </c>
      <c r="M332" s="115">
        <f t="shared" si="38"/>
        <v>1</v>
      </c>
      <c r="N332" s="115">
        <v>2</v>
      </c>
    </row>
    <row r="333" spans="1:14" s="53" customFormat="1" ht="77.25" hidden="1" customHeight="1" thickBot="1" x14ac:dyDescent="0.3">
      <c r="A333" s="53" t="s">
        <v>156</v>
      </c>
      <c r="B333" s="430" t="s">
        <v>171</v>
      </c>
      <c r="C333" s="68" t="s">
        <v>179</v>
      </c>
      <c r="D333" s="78">
        <v>819</v>
      </c>
      <c r="E333" s="88">
        <v>0.37730000000000002</v>
      </c>
      <c r="F333" s="78">
        <v>816</v>
      </c>
      <c r="G333" s="88">
        <v>0.51349999999999996</v>
      </c>
      <c r="H333" s="90">
        <f t="shared" si="39"/>
        <v>0.13619999999999993</v>
      </c>
      <c r="I333" s="102">
        <f t="shared" si="34"/>
        <v>2.4351939988615904E-2</v>
      </c>
      <c r="J333" s="102">
        <f t="shared" si="35"/>
        <v>5.5929835595714756</v>
      </c>
      <c r="K333" s="102">
        <f t="shared" si="36"/>
        <v>2.2320043369106202E-8</v>
      </c>
      <c r="L333" s="109" t="str">
        <f t="shared" si="37"/>
        <v>Yes</v>
      </c>
      <c r="M333" s="115">
        <f t="shared" si="38"/>
        <v>1</v>
      </c>
      <c r="N333" s="115">
        <v>2</v>
      </c>
    </row>
    <row r="334" spans="1:14" s="60" customFormat="1" ht="77.25" hidden="1" customHeight="1" thickBot="1" x14ac:dyDescent="0.3">
      <c r="B334" s="62"/>
      <c r="C334" s="69" t="s">
        <v>176</v>
      </c>
      <c r="D334" s="79"/>
      <c r="E334" s="89"/>
      <c r="F334" s="79"/>
      <c r="G334" s="89"/>
      <c r="H334" s="93"/>
      <c r="I334" s="103"/>
      <c r="J334" s="103"/>
      <c r="K334" s="103"/>
      <c r="L334" s="110"/>
      <c r="M334" s="116"/>
      <c r="N334" s="116">
        <f>SUM(N328:N333)</f>
        <v>11</v>
      </c>
    </row>
    <row r="335" spans="1:14" s="53" customFormat="1" ht="77.25" hidden="1" customHeight="1" thickBot="1" x14ac:dyDescent="0.3">
      <c r="A335" s="53" t="s">
        <v>157</v>
      </c>
      <c r="B335" s="428" t="s">
        <v>170</v>
      </c>
      <c r="C335" s="67" t="s">
        <v>177</v>
      </c>
      <c r="D335" s="80">
        <v>918</v>
      </c>
      <c r="E335" s="90">
        <v>0.67859999999999998</v>
      </c>
      <c r="F335" s="80">
        <v>988</v>
      </c>
      <c r="G335" s="90">
        <v>0.67910000000000004</v>
      </c>
      <c r="H335" s="90">
        <f t="shared" si="39"/>
        <v>5.0000000000005596E-4</v>
      </c>
      <c r="I335" s="100">
        <f t="shared" si="34"/>
        <v>2.1404531107524872E-2</v>
      </c>
      <c r="J335" s="100">
        <f t="shared" si="35"/>
        <v>2.3359539972556485E-2</v>
      </c>
      <c r="K335" s="100">
        <f t="shared" si="36"/>
        <v>0.98136347861641138</v>
      </c>
      <c r="L335" s="109" t="str">
        <f t="shared" si="37"/>
        <v>No</v>
      </c>
      <c r="M335" s="115">
        <f t="shared" si="38"/>
        <v>1</v>
      </c>
      <c r="N335" s="115">
        <v>1</v>
      </c>
    </row>
    <row r="336" spans="1:14" s="53" customFormat="1" ht="77.25" hidden="1" customHeight="1" thickBot="1" x14ac:dyDescent="0.3">
      <c r="A336" s="53" t="s">
        <v>157</v>
      </c>
      <c r="B336" s="429" t="s">
        <v>170</v>
      </c>
      <c r="C336" s="65" t="s">
        <v>178</v>
      </c>
      <c r="D336" s="74">
        <v>1042</v>
      </c>
      <c r="E336" s="84">
        <v>0.77829999999999999</v>
      </c>
      <c r="F336" s="74">
        <v>1132</v>
      </c>
      <c r="G336" s="84">
        <v>0.75090000000000001</v>
      </c>
      <c r="H336" s="90">
        <f t="shared" si="39"/>
        <v>-2.739999999999998E-2</v>
      </c>
      <c r="I336" s="101">
        <f t="shared" si="34"/>
        <v>1.818878654071256E-2</v>
      </c>
      <c r="J336" s="101">
        <f t="shared" si="35"/>
        <v>-1.5064226488484902</v>
      </c>
      <c r="K336" s="101">
        <f t="shared" si="36"/>
        <v>0.13195871012884308</v>
      </c>
      <c r="L336" s="109" t="str">
        <f t="shared" si="37"/>
        <v>No</v>
      </c>
      <c r="M336" s="115">
        <f t="shared" si="38"/>
        <v>0</v>
      </c>
      <c r="N336" s="115">
        <v>1</v>
      </c>
    </row>
    <row r="337" spans="1:14" s="53" customFormat="1" ht="77.25" hidden="1" customHeight="1" thickBot="1" x14ac:dyDescent="0.3">
      <c r="A337" s="53" t="s">
        <v>157</v>
      </c>
      <c r="B337" s="430" t="s">
        <v>170</v>
      </c>
      <c r="C337" s="68" t="s">
        <v>179</v>
      </c>
      <c r="D337" s="75">
        <v>1033</v>
      </c>
      <c r="E337" s="85">
        <v>0.77349999999999997</v>
      </c>
      <c r="F337" s="75">
        <v>1141</v>
      </c>
      <c r="G337" s="85">
        <v>0.76690000000000003</v>
      </c>
      <c r="H337" s="90">
        <f t="shared" si="39"/>
        <v>-6.5999999999999392E-3</v>
      </c>
      <c r="I337" s="102">
        <f t="shared" si="34"/>
        <v>1.8063066052980113E-2</v>
      </c>
      <c r="J337" s="102">
        <f t="shared" si="35"/>
        <v>-0.36538647318465883</v>
      </c>
      <c r="K337" s="102">
        <f t="shared" si="36"/>
        <v>0.71482293711630618</v>
      </c>
      <c r="L337" s="109" t="str">
        <f t="shared" si="37"/>
        <v>No</v>
      </c>
      <c r="M337" s="115">
        <f t="shared" si="38"/>
        <v>0</v>
      </c>
      <c r="N337" s="115">
        <v>1</v>
      </c>
    </row>
    <row r="338" spans="1:14" s="53" customFormat="1" ht="77.25" hidden="1" customHeight="1" thickBot="1" x14ac:dyDescent="0.3">
      <c r="A338" s="53" t="s">
        <v>157</v>
      </c>
      <c r="B338" s="428" t="s">
        <v>171</v>
      </c>
      <c r="C338" s="67" t="s">
        <v>177</v>
      </c>
      <c r="D338" s="76">
        <v>1148</v>
      </c>
      <c r="E338" s="86">
        <v>0.55230000000000001</v>
      </c>
      <c r="F338" s="76">
        <v>1224</v>
      </c>
      <c r="G338" s="86">
        <v>0.57840000000000003</v>
      </c>
      <c r="H338" s="90">
        <f t="shared" si="39"/>
        <v>2.6100000000000012E-2</v>
      </c>
      <c r="I338" s="100">
        <f t="shared" si="34"/>
        <v>2.03620736840688E-2</v>
      </c>
      <c r="J338" s="100">
        <f t="shared" si="35"/>
        <v>1.2817947918742942</v>
      </c>
      <c r="K338" s="100">
        <f t="shared" si="36"/>
        <v>0.19991464167464335</v>
      </c>
      <c r="L338" s="109" t="str">
        <f t="shared" si="37"/>
        <v>No</v>
      </c>
      <c r="M338" s="115">
        <f t="shared" si="38"/>
        <v>1</v>
      </c>
      <c r="N338" s="115">
        <v>1</v>
      </c>
    </row>
    <row r="339" spans="1:14" s="53" customFormat="1" ht="77.25" hidden="1" customHeight="1" thickBot="1" x14ac:dyDescent="0.3">
      <c r="A339" s="53" t="s">
        <v>157</v>
      </c>
      <c r="B339" s="429" t="s">
        <v>171</v>
      </c>
      <c r="C339" s="65" t="s">
        <v>178</v>
      </c>
      <c r="D339" s="77">
        <v>1141</v>
      </c>
      <c r="E339" s="87">
        <v>0.5232</v>
      </c>
      <c r="F339" s="77">
        <v>1225</v>
      </c>
      <c r="G339" s="87">
        <v>0.52080000000000004</v>
      </c>
      <c r="H339" s="90">
        <f t="shared" si="39"/>
        <v>-2.3999999999999577E-3</v>
      </c>
      <c r="I339" s="101">
        <f t="shared" ref="I339:I413" si="40">SQRT(E339*(1-E339)/D339+G339*(1-G339)/F339)</f>
        <v>2.0551466563583982E-2</v>
      </c>
      <c r="J339" s="101">
        <f t="shared" ref="J339:J413" si="41">H339/I339</f>
        <v>-0.11677998709117041</v>
      </c>
      <c r="K339" s="101">
        <f t="shared" ref="K339:K413" si="42">2*(1-NORMDIST(ABS(J339),0,1,TRUE))</f>
        <v>0.90703440321304596</v>
      </c>
      <c r="L339" s="109" t="str">
        <f t="shared" ref="L339:L413" si="43">IF(K339="","",IF(K339&lt;=0.05, "Yes", "No"))</f>
        <v>No</v>
      </c>
      <c r="M339" s="115">
        <f t="shared" ref="M339:M413" si="44">IF(H339&gt;=0, 1, 0)</f>
        <v>0</v>
      </c>
      <c r="N339" s="115">
        <v>1</v>
      </c>
    </row>
    <row r="340" spans="1:14" s="53" customFormat="1" ht="77.25" hidden="1" customHeight="1" thickBot="1" x14ac:dyDescent="0.3">
      <c r="A340" s="53" t="s">
        <v>157</v>
      </c>
      <c r="B340" s="430" t="s">
        <v>171</v>
      </c>
      <c r="C340" s="68" t="s">
        <v>179</v>
      </c>
      <c r="D340" s="78">
        <v>1125</v>
      </c>
      <c r="E340" s="88">
        <v>0.53959999999999997</v>
      </c>
      <c r="F340" s="78">
        <v>1220</v>
      </c>
      <c r="G340" s="88">
        <v>0.54020000000000001</v>
      </c>
      <c r="H340" s="90">
        <f t="shared" si="39"/>
        <v>6.0000000000004494E-4</v>
      </c>
      <c r="I340" s="102">
        <f t="shared" si="40"/>
        <v>2.0601497811040044E-2</v>
      </c>
      <c r="J340" s="102">
        <f t="shared" si="41"/>
        <v>2.9124096000365259E-2</v>
      </c>
      <c r="K340" s="102">
        <f t="shared" si="42"/>
        <v>0.97676561811772733</v>
      </c>
      <c r="L340" s="109" t="str">
        <f t="shared" si="43"/>
        <v>No</v>
      </c>
      <c r="M340" s="115">
        <f t="shared" si="44"/>
        <v>1</v>
      </c>
      <c r="N340" s="115">
        <v>1</v>
      </c>
    </row>
    <row r="341" spans="1:14" s="60" customFormat="1" ht="77.25" hidden="1" customHeight="1" thickBot="1" x14ac:dyDescent="0.3">
      <c r="B341" s="62"/>
      <c r="C341" s="69" t="s">
        <v>176</v>
      </c>
      <c r="D341" s="79"/>
      <c r="E341" s="89"/>
      <c r="F341" s="79"/>
      <c r="G341" s="89"/>
      <c r="H341" s="93"/>
      <c r="I341" s="103"/>
      <c r="J341" s="103"/>
      <c r="K341" s="103"/>
      <c r="L341" s="110"/>
      <c r="M341" s="116"/>
      <c r="N341" s="116">
        <f>SUM(N335:N340)</f>
        <v>6</v>
      </c>
    </row>
    <row r="342" spans="1:14" s="53" customFormat="1" ht="77.25" hidden="1" customHeight="1" thickBot="1" x14ac:dyDescent="0.3">
      <c r="A342" s="53" t="s">
        <v>158</v>
      </c>
      <c r="B342" s="428" t="s">
        <v>170</v>
      </c>
      <c r="C342" s="67" t="s">
        <v>177</v>
      </c>
      <c r="D342" s="80">
        <v>1865</v>
      </c>
      <c r="E342" s="90">
        <v>0.81499999999999995</v>
      </c>
      <c r="F342" s="80">
        <v>1130</v>
      </c>
      <c r="G342" s="90">
        <v>0.79559999999999997</v>
      </c>
      <c r="H342" s="90">
        <f t="shared" si="39"/>
        <v>-1.9399999999999973E-2</v>
      </c>
      <c r="I342" s="100">
        <f t="shared" si="40"/>
        <v>1.4991883631415631E-2</v>
      </c>
      <c r="J342" s="100">
        <f t="shared" si="41"/>
        <v>-1.2940335235358347</v>
      </c>
      <c r="K342" s="100">
        <f t="shared" si="42"/>
        <v>0.19565384153462073</v>
      </c>
      <c r="L342" s="109" t="str">
        <f t="shared" si="43"/>
        <v>No</v>
      </c>
      <c r="M342" s="115">
        <f t="shared" si="44"/>
        <v>0</v>
      </c>
      <c r="N342" s="115">
        <v>1</v>
      </c>
    </row>
    <row r="343" spans="1:14" s="53" customFormat="1" ht="77.25" hidden="1" customHeight="1" thickBot="1" x14ac:dyDescent="0.3">
      <c r="A343" s="53" t="s">
        <v>158</v>
      </c>
      <c r="B343" s="429" t="s">
        <v>170</v>
      </c>
      <c r="C343" s="65" t="s">
        <v>178</v>
      </c>
      <c r="D343" s="74">
        <v>1961</v>
      </c>
      <c r="E343" s="84">
        <v>0.81740000000000002</v>
      </c>
      <c r="F343" s="74">
        <v>1212</v>
      </c>
      <c r="G343" s="84">
        <v>0.80530000000000002</v>
      </c>
      <c r="H343" s="90">
        <f t="shared" si="39"/>
        <v>-1.21E-2</v>
      </c>
      <c r="I343" s="101">
        <f t="shared" si="40"/>
        <v>1.4334541581998313E-2</v>
      </c>
      <c r="J343" s="101">
        <f t="shared" si="41"/>
        <v>-0.84411489064955458</v>
      </c>
      <c r="K343" s="101">
        <f t="shared" si="42"/>
        <v>0.39860520754597806</v>
      </c>
      <c r="L343" s="109" t="str">
        <f t="shared" si="43"/>
        <v>No</v>
      </c>
      <c r="M343" s="115">
        <f t="shared" si="44"/>
        <v>0</v>
      </c>
      <c r="N343" s="115">
        <v>1</v>
      </c>
    </row>
    <row r="344" spans="1:14" s="53" customFormat="1" ht="77.25" hidden="1" customHeight="1" thickBot="1" x14ac:dyDescent="0.3">
      <c r="A344" s="53" t="s">
        <v>158</v>
      </c>
      <c r="B344" s="430" t="s">
        <v>170</v>
      </c>
      <c r="C344" s="68" t="s">
        <v>179</v>
      </c>
      <c r="D344" s="75">
        <v>1905</v>
      </c>
      <c r="E344" s="85">
        <v>0.82099999999999995</v>
      </c>
      <c r="F344" s="75">
        <v>1173</v>
      </c>
      <c r="G344" s="85">
        <v>0.82010000000000005</v>
      </c>
      <c r="H344" s="90">
        <f t="shared" si="39"/>
        <v>-8.9999999999990088E-4</v>
      </c>
      <c r="I344" s="102">
        <f t="shared" si="40"/>
        <v>1.4245015429513135E-2</v>
      </c>
      <c r="J344" s="102">
        <f t="shared" si="41"/>
        <v>-6.3179994746461354E-2</v>
      </c>
      <c r="K344" s="102">
        <f t="shared" si="42"/>
        <v>0.94962317482827396</v>
      </c>
      <c r="L344" s="109" t="str">
        <f t="shared" si="43"/>
        <v>No</v>
      </c>
      <c r="M344" s="115">
        <f t="shared" si="44"/>
        <v>0</v>
      </c>
      <c r="N344" s="115">
        <v>1</v>
      </c>
    </row>
    <row r="345" spans="1:14" s="53" customFormat="1" ht="77.25" hidden="1" customHeight="1" thickBot="1" x14ac:dyDescent="0.3">
      <c r="A345" s="53" t="s">
        <v>158</v>
      </c>
      <c r="B345" s="428" t="s">
        <v>171</v>
      </c>
      <c r="C345" s="67" t="s">
        <v>177</v>
      </c>
      <c r="D345" s="76">
        <v>2317</v>
      </c>
      <c r="E345" s="86">
        <v>0.59040000000000004</v>
      </c>
      <c r="F345" s="76">
        <v>1421</v>
      </c>
      <c r="G345" s="86">
        <v>0.59250000000000003</v>
      </c>
      <c r="H345" s="90">
        <f t="shared" si="39"/>
        <v>2.0999999999999908E-3</v>
      </c>
      <c r="I345" s="100">
        <f t="shared" si="40"/>
        <v>1.6561468977053018E-2</v>
      </c>
      <c r="J345" s="100">
        <f t="shared" si="41"/>
        <v>0.12680034620779571</v>
      </c>
      <c r="K345" s="100">
        <f t="shared" si="42"/>
        <v>0.89909842171631738</v>
      </c>
      <c r="L345" s="109" t="str">
        <f t="shared" si="43"/>
        <v>No</v>
      </c>
      <c r="M345" s="115">
        <f t="shared" si="44"/>
        <v>1</v>
      </c>
      <c r="N345" s="115">
        <v>1</v>
      </c>
    </row>
    <row r="346" spans="1:14" s="53" customFormat="1" ht="77.25" hidden="1" customHeight="1" thickBot="1" x14ac:dyDescent="0.3">
      <c r="A346" s="53" t="s">
        <v>158</v>
      </c>
      <c r="B346" s="429" t="s">
        <v>171</v>
      </c>
      <c r="C346" s="65" t="s">
        <v>178</v>
      </c>
      <c r="D346" s="77">
        <v>2317</v>
      </c>
      <c r="E346" s="87">
        <v>0.55759999999999998</v>
      </c>
      <c r="F346" s="77">
        <v>1421</v>
      </c>
      <c r="G346" s="87">
        <v>0.5454</v>
      </c>
      <c r="H346" s="90">
        <f t="shared" si="39"/>
        <v>-1.2199999999999989E-2</v>
      </c>
      <c r="I346" s="101">
        <f t="shared" si="40"/>
        <v>1.6761508460133107E-2</v>
      </c>
      <c r="J346" s="101">
        <f t="shared" si="41"/>
        <v>-0.72785811784287979</v>
      </c>
      <c r="K346" s="101">
        <f t="shared" si="42"/>
        <v>0.46670044346928385</v>
      </c>
      <c r="L346" s="109" t="str">
        <f t="shared" si="43"/>
        <v>No</v>
      </c>
      <c r="M346" s="115">
        <f t="shared" si="44"/>
        <v>0</v>
      </c>
      <c r="N346" s="115">
        <v>1</v>
      </c>
    </row>
    <row r="347" spans="1:14" s="53" customFormat="1" ht="77.25" hidden="1" customHeight="1" thickBot="1" x14ac:dyDescent="0.3">
      <c r="A347" s="53" t="s">
        <v>158</v>
      </c>
      <c r="B347" s="430" t="s">
        <v>171</v>
      </c>
      <c r="C347" s="68" t="s">
        <v>179</v>
      </c>
      <c r="D347" s="78">
        <v>2317</v>
      </c>
      <c r="E347" s="88">
        <v>0.59260000000000002</v>
      </c>
      <c r="F347" s="78">
        <v>1421</v>
      </c>
      <c r="G347" s="88">
        <v>0.57709999999999995</v>
      </c>
      <c r="H347" s="90">
        <f t="shared" si="39"/>
        <v>-1.5500000000000069E-2</v>
      </c>
      <c r="I347" s="102">
        <f t="shared" si="40"/>
        <v>1.6611638241401643E-2</v>
      </c>
      <c r="J347" s="102">
        <f t="shared" si="41"/>
        <v>-0.93308075788509481</v>
      </c>
      <c r="K347" s="102">
        <f t="shared" si="42"/>
        <v>0.35077827331571099</v>
      </c>
      <c r="L347" s="109" t="str">
        <f t="shared" si="43"/>
        <v>No</v>
      </c>
      <c r="M347" s="115">
        <f t="shared" si="44"/>
        <v>0</v>
      </c>
      <c r="N347" s="115">
        <v>1</v>
      </c>
    </row>
    <row r="348" spans="1:14" s="60" customFormat="1" ht="77.25" hidden="1" customHeight="1" thickBot="1" x14ac:dyDescent="0.3">
      <c r="B348" s="62"/>
      <c r="C348" s="69" t="s">
        <v>176</v>
      </c>
      <c r="D348" s="79"/>
      <c r="E348" s="89"/>
      <c r="F348" s="79"/>
      <c r="G348" s="89"/>
      <c r="H348" s="93"/>
      <c r="I348" s="103"/>
      <c r="J348" s="103"/>
      <c r="K348" s="103"/>
      <c r="L348" s="110"/>
      <c r="M348" s="116"/>
      <c r="N348" s="116">
        <f>SUM(N342:N347)</f>
        <v>6</v>
      </c>
    </row>
    <row r="349" spans="1:14" s="53" customFormat="1" ht="77.25" hidden="1" customHeight="1" thickBot="1" x14ac:dyDescent="0.3">
      <c r="A349" s="53" t="s">
        <v>159</v>
      </c>
      <c r="B349" s="428" t="s">
        <v>170</v>
      </c>
      <c r="C349" s="67" t="s">
        <v>177</v>
      </c>
      <c r="D349" s="80">
        <v>130</v>
      </c>
      <c r="E349" s="90">
        <v>0.53080000000000005</v>
      </c>
      <c r="F349" s="80">
        <v>105</v>
      </c>
      <c r="G349" s="90">
        <v>0.50480000000000003</v>
      </c>
      <c r="H349" s="90">
        <f t="shared" si="39"/>
        <v>-2.6000000000000023E-2</v>
      </c>
      <c r="I349" s="100">
        <f t="shared" si="40"/>
        <v>6.5547789014494193E-2</v>
      </c>
      <c r="J349" s="100">
        <f t="shared" si="41"/>
        <v>-0.39665716252078004</v>
      </c>
      <c r="K349" s="100">
        <f t="shared" si="42"/>
        <v>0.69162029348117904</v>
      </c>
      <c r="L349" s="109" t="str">
        <f t="shared" si="43"/>
        <v>No</v>
      </c>
      <c r="M349" s="115">
        <f t="shared" si="44"/>
        <v>0</v>
      </c>
      <c r="N349" s="115">
        <v>1</v>
      </c>
    </row>
    <row r="350" spans="1:14" s="53" customFormat="1" ht="77.25" hidden="1" customHeight="1" thickBot="1" x14ac:dyDescent="0.3">
      <c r="A350" s="53" t="s">
        <v>159</v>
      </c>
      <c r="B350" s="429" t="s">
        <v>170</v>
      </c>
      <c r="C350" s="65" t="s">
        <v>178</v>
      </c>
      <c r="D350" s="74">
        <v>256</v>
      </c>
      <c r="E350" s="84">
        <v>0.50780000000000003</v>
      </c>
      <c r="F350" s="74">
        <v>221</v>
      </c>
      <c r="G350" s="84">
        <v>0.58819999999999995</v>
      </c>
      <c r="H350" s="90">
        <f t="shared" si="39"/>
        <v>8.0399999999999916E-2</v>
      </c>
      <c r="I350" s="101">
        <f t="shared" si="40"/>
        <v>4.5523031338120912E-2</v>
      </c>
      <c r="J350" s="101">
        <f t="shared" si="41"/>
        <v>1.7661389770560618</v>
      </c>
      <c r="K350" s="101">
        <f t="shared" si="42"/>
        <v>7.7372535736132786E-2</v>
      </c>
      <c r="L350" s="109" t="str">
        <f t="shared" si="43"/>
        <v>No</v>
      </c>
      <c r="M350" s="115">
        <f t="shared" si="44"/>
        <v>1</v>
      </c>
      <c r="N350" s="115">
        <v>1</v>
      </c>
    </row>
    <row r="351" spans="1:14" s="53" customFormat="1" ht="77.25" hidden="1" customHeight="1" thickBot="1" x14ac:dyDescent="0.3">
      <c r="A351" s="53" t="s">
        <v>159</v>
      </c>
      <c r="B351" s="430" t="s">
        <v>170</v>
      </c>
      <c r="C351" s="68" t="s">
        <v>179</v>
      </c>
      <c r="D351" s="75">
        <v>91</v>
      </c>
      <c r="E351" s="85">
        <v>0.69230000000000003</v>
      </c>
      <c r="F351" s="75">
        <v>117</v>
      </c>
      <c r="G351" s="85">
        <v>0.5726</v>
      </c>
      <c r="H351" s="90">
        <f t="shared" si="39"/>
        <v>-0.11970000000000003</v>
      </c>
      <c r="I351" s="102">
        <f t="shared" si="40"/>
        <v>6.6577697685184553E-2</v>
      </c>
      <c r="J351" s="102">
        <f t="shared" si="41"/>
        <v>-1.7978993591218266</v>
      </c>
      <c r="K351" s="102">
        <f t="shared" si="42"/>
        <v>7.2192957720999207E-2</v>
      </c>
      <c r="L351" s="109" t="str">
        <f t="shared" si="43"/>
        <v>No</v>
      </c>
      <c r="M351" s="115">
        <f t="shared" si="44"/>
        <v>0</v>
      </c>
      <c r="N351" s="115">
        <v>1</v>
      </c>
    </row>
    <row r="352" spans="1:14" s="53" customFormat="1" ht="77.25" hidden="1" customHeight="1" thickBot="1" x14ac:dyDescent="0.3">
      <c r="A352" s="53" t="s">
        <v>159</v>
      </c>
      <c r="B352" s="428" t="s">
        <v>171</v>
      </c>
      <c r="C352" s="67" t="s">
        <v>177</v>
      </c>
      <c r="D352" s="76">
        <v>507</v>
      </c>
      <c r="E352" s="86">
        <v>0.85799999999999998</v>
      </c>
      <c r="F352" s="76">
        <v>410</v>
      </c>
      <c r="G352" s="86">
        <v>0.85370000000000001</v>
      </c>
      <c r="H352" s="90">
        <f t="shared" si="39"/>
        <v>-4.2999999999999705E-3</v>
      </c>
      <c r="I352" s="100">
        <f t="shared" si="40"/>
        <v>2.3343796577445487E-2</v>
      </c>
      <c r="J352" s="100">
        <f t="shared" si="41"/>
        <v>-0.18420311305122414</v>
      </c>
      <c r="K352" s="100">
        <f t="shared" si="42"/>
        <v>0.85385411740829698</v>
      </c>
      <c r="L352" s="109" t="str">
        <f t="shared" si="43"/>
        <v>No</v>
      </c>
      <c r="M352" s="115">
        <f t="shared" si="44"/>
        <v>0</v>
      </c>
      <c r="N352" s="115">
        <v>1</v>
      </c>
    </row>
    <row r="353" spans="1:14" s="53" customFormat="1" ht="77.25" hidden="1" customHeight="1" thickBot="1" x14ac:dyDescent="0.3">
      <c r="A353" s="53" t="s">
        <v>159</v>
      </c>
      <c r="B353" s="429" t="s">
        <v>171</v>
      </c>
      <c r="C353" s="65" t="s">
        <v>178</v>
      </c>
      <c r="D353" s="77">
        <v>507</v>
      </c>
      <c r="E353" s="87">
        <v>0.65680000000000005</v>
      </c>
      <c r="F353" s="77">
        <v>410</v>
      </c>
      <c r="G353" s="87">
        <v>0.69510000000000005</v>
      </c>
      <c r="H353" s="90">
        <f t="shared" si="39"/>
        <v>3.8300000000000001E-2</v>
      </c>
      <c r="I353" s="101">
        <f t="shared" si="40"/>
        <v>3.1008387989438675E-2</v>
      </c>
      <c r="J353" s="101">
        <f t="shared" si="41"/>
        <v>1.2351496637956418</v>
      </c>
      <c r="K353" s="101">
        <f t="shared" si="42"/>
        <v>0.21677480887408418</v>
      </c>
      <c r="L353" s="109" t="str">
        <f t="shared" si="43"/>
        <v>No</v>
      </c>
      <c r="M353" s="115">
        <f t="shared" si="44"/>
        <v>1</v>
      </c>
      <c r="N353" s="115">
        <v>1</v>
      </c>
    </row>
    <row r="354" spans="1:14" s="53" customFormat="1" ht="77.25" hidden="1" customHeight="1" thickBot="1" x14ac:dyDescent="0.3">
      <c r="A354" s="53" t="s">
        <v>159</v>
      </c>
      <c r="B354" s="430" t="s">
        <v>171</v>
      </c>
      <c r="C354" s="68" t="s">
        <v>179</v>
      </c>
      <c r="D354" s="78">
        <v>507</v>
      </c>
      <c r="E354" s="88">
        <v>0.93489999999999995</v>
      </c>
      <c r="F354" s="78">
        <v>410</v>
      </c>
      <c r="G354" s="88">
        <v>0.84630000000000005</v>
      </c>
      <c r="H354" s="90">
        <f t="shared" si="39"/>
        <v>-8.8599999999999901E-2</v>
      </c>
      <c r="I354" s="102">
        <f t="shared" si="40"/>
        <v>2.0911782933647524E-2</v>
      </c>
      <c r="J354" s="102">
        <f t="shared" si="41"/>
        <v>-4.2368458146837655</v>
      </c>
      <c r="K354" s="102">
        <f t="shared" si="42"/>
        <v>2.2668168288220159E-5</v>
      </c>
      <c r="L354" s="109" t="str">
        <f t="shared" si="43"/>
        <v>Yes</v>
      </c>
      <c r="M354" s="115">
        <f t="shared" si="44"/>
        <v>0</v>
      </c>
      <c r="N354" s="115">
        <v>0</v>
      </c>
    </row>
    <row r="355" spans="1:14" s="60" customFormat="1" ht="77.25" hidden="1" customHeight="1" thickBot="1" x14ac:dyDescent="0.3">
      <c r="B355" s="62"/>
      <c r="C355" s="69" t="s">
        <v>176</v>
      </c>
      <c r="D355" s="79"/>
      <c r="E355" s="89"/>
      <c r="F355" s="79"/>
      <c r="G355" s="89"/>
      <c r="H355" s="93"/>
      <c r="I355" s="103"/>
      <c r="J355" s="103"/>
      <c r="K355" s="103"/>
      <c r="L355" s="110"/>
      <c r="M355" s="116"/>
      <c r="N355" s="116">
        <f>SUM(N349:N354)</f>
        <v>5</v>
      </c>
    </row>
    <row r="356" spans="1:14" s="53" customFormat="1" ht="77.25" hidden="1" customHeight="1" thickBot="1" x14ac:dyDescent="0.3">
      <c r="A356" s="53" t="s">
        <v>160</v>
      </c>
      <c r="B356" s="428" t="s">
        <v>170</v>
      </c>
      <c r="C356" s="67" t="s">
        <v>177</v>
      </c>
      <c r="D356" s="80">
        <v>1479</v>
      </c>
      <c r="E356" s="90">
        <v>0.70989999999999998</v>
      </c>
      <c r="F356" s="80">
        <v>2001</v>
      </c>
      <c r="G356" s="90">
        <v>0.74609999999999999</v>
      </c>
      <c r="H356" s="90">
        <f t="shared" si="39"/>
        <v>3.620000000000001E-2</v>
      </c>
      <c r="I356" s="100">
        <f t="shared" si="40"/>
        <v>1.5294251764931899E-2</v>
      </c>
      <c r="J356" s="100">
        <f t="shared" si="41"/>
        <v>2.3669023209754387</v>
      </c>
      <c r="K356" s="100">
        <f t="shared" si="42"/>
        <v>1.7937666320012813E-2</v>
      </c>
      <c r="L356" s="109" t="str">
        <f t="shared" si="43"/>
        <v>Yes</v>
      </c>
      <c r="M356" s="115">
        <f t="shared" si="44"/>
        <v>1</v>
      </c>
      <c r="N356" s="115">
        <v>2</v>
      </c>
    </row>
    <row r="357" spans="1:14" s="53" customFormat="1" ht="77.25" hidden="1" customHeight="1" thickBot="1" x14ac:dyDescent="0.3">
      <c r="A357" s="53" t="s">
        <v>160</v>
      </c>
      <c r="B357" s="429" t="s">
        <v>170</v>
      </c>
      <c r="C357" s="65" t="s">
        <v>178</v>
      </c>
      <c r="D357" s="74">
        <v>1521</v>
      </c>
      <c r="E357" s="84">
        <v>0.74619999999999997</v>
      </c>
      <c r="F357" s="74">
        <v>2102</v>
      </c>
      <c r="G357" s="84">
        <v>0.78690000000000004</v>
      </c>
      <c r="H357" s="90">
        <f t="shared" si="39"/>
        <v>4.0700000000000069E-2</v>
      </c>
      <c r="I357" s="101">
        <f t="shared" si="40"/>
        <v>1.4292987218980946E-2</v>
      </c>
      <c r="J357" s="101">
        <f t="shared" si="41"/>
        <v>2.847550296970172</v>
      </c>
      <c r="K357" s="101">
        <f t="shared" si="42"/>
        <v>4.405713169550296E-3</v>
      </c>
      <c r="L357" s="109" t="str">
        <f t="shared" si="43"/>
        <v>Yes</v>
      </c>
      <c r="M357" s="115">
        <f t="shared" si="44"/>
        <v>1</v>
      </c>
      <c r="N357" s="115">
        <v>2</v>
      </c>
    </row>
    <row r="358" spans="1:14" s="53" customFormat="1" ht="77.25" hidden="1" customHeight="1" thickBot="1" x14ac:dyDescent="0.3">
      <c r="A358" s="53" t="s">
        <v>160</v>
      </c>
      <c r="B358" s="430" t="s">
        <v>170</v>
      </c>
      <c r="C358" s="68" t="s">
        <v>179</v>
      </c>
      <c r="D358" s="75">
        <v>1547</v>
      </c>
      <c r="E358" s="85">
        <v>0.77439999999999998</v>
      </c>
      <c r="F358" s="75">
        <v>2119</v>
      </c>
      <c r="G358" s="85">
        <v>0.80510000000000004</v>
      </c>
      <c r="H358" s="90">
        <f t="shared" si="39"/>
        <v>3.0700000000000061E-2</v>
      </c>
      <c r="I358" s="102">
        <f t="shared" si="40"/>
        <v>1.3674143859643162E-2</v>
      </c>
      <c r="J358" s="102">
        <f t="shared" si="41"/>
        <v>2.2451131357924154</v>
      </c>
      <c r="K358" s="102">
        <f t="shared" si="42"/>
        <v>2.4760870544665359E-2</v>
      </c>
      <c r="L358" s="109" t="str">
        <f t="shared" si="43"/>
        <v>Yes</v>
      </c>
      <c r="M358" s="115">
        <f t="shared" si="44"/>
        <v>1</v>
      </c>
      <c r="N358" s="115">
        <v>2</v>
      </c>
    </row>
    <row r="359" spans="1:14" s="53" customFormat="1" ht="77.25" hidden="1" customHeight="1" thickBot="1" x14ac:dyDescent="0.3">
      <c r="A359" s="53" t="s">
        <v>160</v>
      </c>
      <c r="B359" s="428" t="s">
        <v>171</v>
      </c>
      <c r="C359" s="67" t="s">
        <v>177</v>
      </c>
      <c r="D359" s="76">
        <v>1632</v>
      </c>
      <c r="E359" s="86">
        <v>0.34129999999999999</v>
      </c>
      <c r="F359" s="76">
        <v>2243</v>
      </c>
      <c r="G359" s="86">
        <v>0.41820000000000002</v>
      </c>
      <c r="H359" s="90">
        <f t="shared" si="39"/>
        <v>7.6900000000000024E-2</v>
      </c>
      <c r="I359" s="100">
        <f t="shared" si="40"/>
        <v>1.5691671993246524E-2</v>
      </c>
      <c r="J359" s="100">
        <f t="shared" si="41"/>
        <v>4.9006887241268302</v>
      </c>
      <c r="K359" s="100">
        <f t="shared" si="42"/>
        <v>9.5501267360909026E-7</v>
      </c>
      <c r="L359" s="109" t="str">
        <f t="shared" si="43"/>
        <v>Yes</v>
      </c>
      <c r="M359" s="115">
        <f t="shared" si="44"/>
        <v>1</v>
      </c>
      <c r="N359" s="115">
        <v>2</v>
      </c>
    </row>
    <row r="360" spans="1:14" s="53" customFormat="1" ht="77.25" hidden="1" customHeight="1" thickBot="1" x14ac:dyDescent="0.3">
      <c r="A360" s="53" t="s">
        <v>160</v>
      </c>
      <c r="B360" s="429" t="s">
        <v>171</v>
      </c>
      <c r="C360" s="65" t="s">
        <v>178</v>
      </c>
      <c r="D360" s="77">
        <v>1633</v>
      </c>
      <c r="E360" s="87">
        <v>0.35460000000000003</v>
      </c>
      <c r="F360" s="77">
        <v>2247</v>
      </c>
      <c r="G360" s="87">
        <v>0.39829999999999999</v>
      </c>
      <c r="H360" s="90">
        <f t="shared" si="39"/>
        <v>4.3699999999999961E-2</v>
      </c>
      <c r="I360" s="101">
        <f t="shared" si="40"/>
        <v>1.5709956657192423E-2</v>
      </c>
      <c r="J360" s="101">
        <f t="shared" si="41"/>
        <v>2.7816754020128358</v>
      </c>
      <c r="K360" s="101">
        <f t="shared" si="42"/>
        <v>5.4079098809636239E-3</v>
      </c>
      <c r="L360" s="109" t="str">
        <f t="shared" si="43"/>
        <v>Yes</v>
      </c>
      <c r="M360" s="115">
        <f t="shared" si="44"/>
        <v>1</v>
      </c>
      <c r="N360" s="115">
        <v>2</v>
      </c>
    </row>
    <row r="361" spans="1:14" s="53" customFormat="1" ht="77.25" hidden="1" customHeight="1" thickBot="1" x14ac:dyDescent="0.3">
      <c r="A361" s="53" t="s">
        <v>160</v>
      </c>
      <c r="B361" s="430" t="s">
        <v>171</v>
      </c>
      <c r="C361" s="68" t="s">
        <v>179</v>
      </c>
      <c r="D361" s="78">
        <v>1635</v>
      </c>
      <c r="E361" s="88">
        <v>0.3468</v>
      </c>
      <c r="F361" s="78">
        <v>2245</v>
      </c>
      <c r="G361" s="88">
        <v>0.37640000000000001</v>
      </c>
      <c r="H361" s="90">
        <f t="shared" si="39"/>
        <v>2.9600000000000015E-2</v>
      </c>
      <c r="I361" s="102">
        <f t="shared" si="40"/>
        <v>1.5591792859608532E-2</v>
      </c>
      <c r="J361" s="102">
        <f t="shared" si="41"/>
        <v>1.8984346615250756</v>
      </c>
      <c r="K361" s="102">
        <f t="shared" si="42"/>
        <v>5.7638847246947567E-2</v>
      </c>
      <c r="L361" s="109" t="str">
        <f t="shared" si="43"/>
        <v>No</v>
      </c>
      <c r="M361" s="115">
        <f t="shared" si="44"/>
        <v>1</v>
      </c>
      <c r="N361" s="115">
        <v>1</v>
      </c>
    </row>
    <row r="362" spans="1:14" s="60" customFormat="1" ht="77.25" hidden="1" customHeight="1" thickBot="1" x14ac:dyDescent="0.3">
      <c r="B362" s="62"/>
      <c r="C362" s="69" t="s">
        <v>176</v>
      </c>
      <c r="D362" s="79"/>
      <c r="E362" s="89"/>
      <c r="F362" s="79"/>
      <c r="G362" s="89"/>
      <c r="H362" s="93"/>
      <c r="I362" s="103"/>
      <c r="J362" s="103"/>
      <c r="K362" s="103"/>
      <c r="L362" s="110"/>
      <c r="M362" s="116"/>
      <c r="N362" s="116">
        <f>SUM(N356:N361)</f>
        <v>11</v>
      </c>
    </row>
    <row r="363" spans="1:14" s="53" customFormat="1" ht="77.25" hidden="1" customHeight="1" thickBot="1" x14ac:dyDescent="0.3">
      <c r="A363" s="53" t="s">
        <v>161</v>
      </c>
      <c r="B363" s="428" t="s">
        <v>170</v>
      </c>
      <c r="C363" s="67" t="s">
        <v>177</v>
      </c>
      <c r="D363" s="80">
        <v>13289</v>
      </c>
      <c r="E363" s="90">
        <v>0.70309999999999995</v>
      </c>
      <c r="F363" s="80">
        <v>14344</v>
      </c>
      <c r="G363" s="90">
        <v>0.71309999999999996</v>
      </c>
      <c r="H363" s="90">
        <f t="shared" si="39"/>
        <v>1.0000000000000009E-2</v>
      </c>
      <c r="I363" s="100">
        <f t="shared" si="40"/>
        <v>5.4746236701006821E-3</v>
      </c>
      <c r="J363" s="100">
        <f t="shared" si="41"/>
        <v>1.8266095722002571</v>
      </c>
      <c r="K363" s="100">
        <f t="shared" si="42"/>
        <v>6.7758493122245245E-2</v>
      </c>
      <c r="L363" s="109" t="str">
        <f t="shared" si="43"/>
        <v>No</v>
      </c>
      <c r="M363" s="115">
        <f t="shared" si="44"/>
        <v>1</v>
      </c>
      <c r="N363" s="115">
        <v>1</v>
      </c>
    </row>
    <row r="364" spans="1:14" s="53" customFormat="1" ht="77.25" hidden="1" customHeight="1" thickBot="1" x14ac:dyDescent="0.3">
      <c r="A364" s="53" t="s">
        <v>161</v>
      </c>
      <c r="B364" s="429" t="s">
        <v>170</v>
      </c>
      <c r="C364" s="65" t="s">
        <v>178</v>
      </c>
      <c r="D364" s="74">
        <v>15354</v>
      </c>
      <c r="E364" s="84">
        <v>0.75619999999999998</v>
      </c>
      <c r="F364" s="74">
        <v>16323</v>
      </c>
      <c r="G364" s="84">
        <v>0.77349999999999997</v>
      </c>
      <c r="H364" s="90">
        <f t="shared" si="39"/>
        <v>1.7299999999999982E-2</v>
      </c>
      <c r="I364" s="101">
        <f t="shared" si="40"/>
        <v>4.7687083530711617E-3</v>
      </c>
      <c r="J364" s="101">
        <f t="shared" si="41"/>
        <v>3.6278167417930622</v>
      </c>
      <c r="K364" s="101">
        <f t="shared" si="42"/>
        <v>2.8582801649768008E-4</v>
      </c>
      <c r="L364" s="109" t="str">
        <f t="shared" si="43"/>
        <v>Yes</v>
      </c>
      <c r="M364" s="115">
        <f t="shared" si="44"/>
        <v>1</v>
      </c>
      <c r="N364" s="115">
        <v>2</v>
      </c>
    </row>
    <row r="365" spans="1:14" s="53" customFormat="1" ht="77.25" hidden="1" customHeight="1" thickBot="1" x14ac:dyDescent="0.3">
      <c r="A365" s="53" t="s">
        <v>161</v>
      </c>
      <c r="B365" s="430" t="s">
        <v>170</v>
      </c>
      <c r="C365" s="68" t="s">
        <v>179</v>
      </c>
      <c r="D365" s="75">
        <v>14969</v>
      </c>
      <c r="E365" s="85">
        <v>0.76500000000000001</v>
      </c>
      <c r="F365" s="75">
        <v>15960</v>
      </c>
      <c r="G365" s="85">
        <v>0.77649999999999997</v>
      </c>
      <c r="H365" s="90">
        <f t="shared" si="39"/>
        <v>1.1499999999999955E-2</v>
      </c>
      <c r="I365" s="102">
        <f t="shared" si="40"/>
        <v>4.7836951688218221E-3</v>
      </c>
      <c r="J365" s="102">
        <f t="shared" si="41"/>
        <v>2.4039993340194989</v>
      </c>
      <c r="K365" s="102">
        <f t="shared" si="42"/>
        <v>1.621680282931437E-2</v>
      </c>
      <c r="L365" s="109" t="str">
        <f t="shared" si="43"/>
        <v>Yes</v>
      </c>
      <c r="M365" s="115">
        <f t="shared" si="44"/>
        <v>1</v>
      </c>
      <c r="N365" s="115">
        <v>2</v>
      </c>
    </row>
    <row r="366" spans="1:14" s="53" customFormat="1" ht="77.25" hidden="1" customHeight="1" thickBot="1" x14ac:dyDescent="0.3">
      <c r="A366" s="53" t="s">
        <v>161</v>
      </c>
      <c r="B366" s="428" t="s">
        <v>171</v>
      </c>
      <c r="C366" s="67" t="s">
        <v>177</v>
      </c>
      <c r="D366" s="76">
        <v>16415</v>
      </c>
      <c r="E366" s="86">
        <v>0.55159999999999998</v>
      </c>
      <c r="F366" s="76">
        <v>17226</v>
      </c>
      <c r="G366" s="86">
        <v>0.53669999999999995</v>
      </c>
      <c r="H366" s="90">
        <f t="shared" si="39"/>
        <v>-1.4900000000000024E-2</v>
      </c>
      <c r="I366" s="100">
        <f t="shared" si="40"/>
        <v>5.4316227690561596E-3</v>
      </c>
      <c r="J366" s="100">
        <f t="shared" si="41"/>
        <v>-2.7431949223140109</v>
      </c>
      <c r="K366" s="100">
        <f t="shared" si="42"/>
        <v>6.0844556227892532E-3</v>
      </c>
      <c r="L366" s="109" t="str">
        <f t="shared" si="43"/>
        <v>Yes</v>
      </c>
      <c r="M366" s="115">
        <f t="shared" si="44"/>
        <v>0</v>
      </c>
      <c r="N366" s="115">
        <v>0</v>
      </c>
    </row>
    <row r="367" spans="1:14" s="53" customFormat="1" ht="77.25" hidden="1" customHeight="1" thickBot="1" x14ac:dyDescent="0.3">
      <c r="A367" s="53" t="s">
        <v>161</v>
      </c>
      <c r="B367" s="429" t="s">
        <v>171</v>
      </c>
      <c r="C367" s="65" t="s">
        <v>178</v>
      </c>
      <c r="D367" s="77">
        <v>16415</v>
      </c>
      <c r="E367" s="87">
        <v>0.46689999999999998</v>
      </c>
      <c r="F367" s="77">
        <v>17226</v>
      </c>
      <c r="G367" s="87">
        <v>0.45</v>
      </c>
      <c r="H367" s="90">
        <f t="shared" si="39"/>
        <v>-1.6899999999999971E-2</v>
      </c>
      <c r="I367" s="101">
        <f t="shared" si="40"/>
        <v>5.4342473477882259E-3</v>
      </c>
      <c r="J367" s="101">
        <f t="shared" si="41"/>
        <v>-3.1099062884721986</v>
      </c>
      <c r="K367" s="101">
        <f t="shared" si="42"/>
        <v>1.8714670836499359E-3</v>
      </c>
      <c r="L367" s="109" t="str">
        <f t="shared" si="43"/>
        <v>Yes</v>
      </c>
      <c r="M367" s="115">
        <f t="shared" si="44"/>
        <v>0</v>
      </c>
      <c r="N367" s="115">
        <v>0</v>
      </c>
    </row>
    <row r="368" spans="1:14" s="53" customFormat="1" ht="77.25" hidden="1" customHeight="1" thickBot="1" x14ac:dyDescent="0.3">
      <c r="A368" s="53" t="s">
        <v>161</v>
      </c>
      <c r="B368" s="430" t="s">
        <v>171</v>
      </c>
      <c r="C368" s="68" t="s">
        <v>179</v>
      </c>
      <c r="D368" s="78">
        <v>16415</v>
      </c>
      <c r="E368" s="88">
        <v>0.53210000000000002</v>
      </c>
      <c r="F368" s="78">
        <v>17226</v>
      </c>
      <c r="G368" s="88">
        <v>0.51390000000000002</v>
      </c>
      <c r="H368" s="90">
        <f t="shared" si="39"/>
        <v>-1.8199999999999994E-2</v>
      </c>
      <c r="I368" s="102">
        <f t="shared" si="40"/>
        <v>5.4469192654592567E-3</v>
      </c>
      <c r="J368" s="102">
        <f t="shared" si="41"/>
        <v>-3.341338307584675</v>
      </c>
      <c r="K368" s="102">
        <f t="shared" si="42"/>
        <v>8.3375563573739875E-4</v>
      </c>
      <c r="L368" s="109" t="str">
        <f t="shared" si="43"/>
        <v>Yes</v>
      </c>
      <c r="M368" s="115">
        <f t="shared" si="44"/>
        <v>0</v>
      </c>
      <c r="N368" s="115">
        <v>0</v>
      </c>
    </row>
    <row r="369" spans="1:14" s="60" customFormat="1" ht="77.25" hidden="1" customHeight="1" thickBot="1" x14ac:dyDescent="0.3">
      <c r="B369" s="62"/>
      <c r="C369" s="69" t="s">
        <v>176</v>
      </c>
      <c r="D369" s="79"/>
      <c r="E369" s="89"/>
      <c r="F369" s="79"/>
      <c r="G369" s="89"/>
      <c r="H369" s="93"/>
      <c r="I369" s="103"/>
      <c r="J369" s="103"/>
      <c r="K369" s="103"/>
      <c r="L369" s="110"/>
      <c r="M369" s="116"/>
      <c r="N369" s="116">
        <f>SUM(N363:N368)</f>
        <v>5</v>
      </c>
    </row>
    <row r="370" spans="1:14" s="53" customFormat="1" ht="77.25" hidden="1" customHeight="1" thickBot="1" x14ac:dyDescent="0.3">
      <c r="A370" s="53" t="s">
        <v>162</v>
      </c>
      <c r="B370" s="428" t="s">
        <v>170</v>
      </c>
      <c r="C370" s="67" t="s">
        <v>177</v>
      </c>
      <c r="D370" s="80">
        <v>1932</v>
      </c>
      <c r="E370" s="90">
        <v>0.69</v>
      </c>
      <c r="F370" s="80">
        <v>1829</v>
      </c>
      <c r="G370" s="90">
        <v>0.68179999999999996</v>
      </c>
      <c r="H370" s="90">
        <f t="shared" si="39"/>
        <v>-8.1999999999999851E-3</v>
      </c>
      <c r="I370" s="100">
        <f t="shared" si="40"/>
        <v>1.5143656698498679E-2</v>
      </c>
      <c r="J370" s="100">
        <f t="shared" si="41"/>
        <v>-0.54148084331658952</v>
      </c>
      <c r="K370" s="100">
        <f t="shared" si="42"/>
        <v>0.58817619815104116</v>
      </c>
      <c r="L370" s="109" t="str">
        <f t="shared" si="43"/>
        <v>No</v>
      </c>
      <c r="M370" s="115">
        <f t="shared" si="44"/>
        <v>0</v>
      </c>
      <c r="N370" s="115">
        <v>1</v>
      </c>
    </row>
    <row r="371" spans="1:14" s="53" customFormat="1" ht="77.25" hidden="1" customHeight="1" thickBot="1" x14ac:dyDescent="0.3">
      <c r="A371" s="53" t="s">
        <v>162</v>
      </c>
      <c r="B371" s="429" t="s">
        <v>170</v>
      </c>
      <c r="C371" s="65" t="s">
        <v>178</v>
      </c>
      <c r="D371" s="74">
        <v>2340</v>
      </c>
      <c r="E371" s="84">
        <v>0.76790000000000003</v>
      </c>
      <c r="F371" s="74">
        <v>2150</v>
      </c>
      <c r="G371" s="84">
        <v>0.75439999999999996</v>
      </c>
      <c r="H371" s="90">
        <f t="shared" si="39"/>
        <v>-1.3500000000000068E-2</v>
      </c>
      <c r="I371" s="101">
        <f t="shared" si="40"/>
        <v>1.2741410177584605E-2</v>
      </c>
      <c r="J371" s="101">
        <f t="shared" si="41"/>
        <v>-1.0595373519761584</v>
      </c>
      <c r="K371" s="101">
        <f t="shared" si="42"/>
        <v>0.28935512769025262</v>
      </c>
      <c r="L371" s="109" t="str">
        <f t="shared" si="43"/>
        <v>No</v>
      </c>
      <c r="M371" s="115">
        <f t="shared" si="44"/>
        <v>0</v>
      </c>
      <c r="N371" s="115">
        <v>1</v>
      </c>
    </row>
    <row r="372" spans="1:14" s="53" customFormat="1" ht="77.25" hidden="1" customHeight="1" thickBot="1" x14ac:dyDescent="0.3">
      <c r="A372" s="53" t="s">
        <v>162</v>
      </c>
      <c r="B372" s="430" t="s">
        <v>170</v>
      </c>
      <c r="C372" s="68" t="s">
        <v>179</v>
      </c>
      <c r="D372" s="75">
        <v>2112</v>
      </c>
      <c r="E372" s="85">
        <v>0.76329999999999998</v>
      </c>
      <c r="F372" s="75">
        <v>1968</v>
      </c>
      <c r="G372" s="85">
        <v>0.76170000000000004</v>
      </c>
      <c r="H372" s="90">
        <f t="shared" si="39"/>
        <v>-1.5999999999999348E-3</v>
      </c>
      <c r="I372" s="102">
        <f t="shared" si="40"/>
        <v>1.3333351096221076E-2</v>
      </c>
      <c r="J372" s="102">
        <f t="shared" si="41"/>
        <v>-0.1199998401342184</v>
      </c>
      <c r="K372" s="102">
        <f t="shared" si="42"/>
        <v>0.90448327459817879</v>
      </c>
      <c r="L372" s="109" t="str">
        <f t="shared" si="43"/>
        <v>No</v>
      </c>
      <c r="M372" s="115">
        <f t="shared" si="44"/>
        <v>0</v>
      </c>
      <c r="N372" s="115">
        <v>1</v>
      </c>
    </row>
    <row r="373" spans="1:14" s="53" customFormat="1" ht="77.25" hidden="1" customHeight="1" thickBot="1" x14ac:dyDescent="0.3">
      <c r="A373" s="53" t="s">
        <v>162</v>
      </c>
      <c r="B373" s="428" t="s">
        <v>171</v>
      </c>
      <c r="C373" s="67" t="s">
        <v>177</v>
      </c>
      <c r="D373" s="76">
        <v>2698</v>
      </c>
      <c r="E373" s="86">
        <v>0.58779999999999999</v>
      </c>
      <c r="F373" s="76">
        <v>2453</v>
      </c>
      <c r="G373" s="86">
        <v>0.55400000000000005</v>
      </c>
      <c r="H373" s="90">
        <f t="shared" si="39"/>
        <v>-3.3799999999999941E-2</v>
      </c>
      <c r="I373" s="100">
        <f t="shared" si="40"/>
        <v>1.3803306157100017E-2</v>
      </c>
      <c r="J373" s="100">
        <f t="shared" si="41"/>
        <v>-2.4486887137987741</v>
      </c>
      <c r="K373" s="100">
        <f t="shared" si="42"/>
        <v>1.4337730012253358E-2</v>
      </c>
      <c r="L373" s="109" t="str">
        <f t="shared" si="43"/>
        <v>Yes</v>
      </c>
      <c r="M373" s="115">
        <f t="shared" si="44"/>
        <v>0</v>
      </c>
      <c r="N373" s="115">
        <v>0</v>
      </c>
    </row>
    <row r="374" spans="1:14" s="53" customFormat="1" ht="77.25" hidden="1" customHeight="1" thickBot="1" x14ac:dyDescent="0.3">
      <c r="A374" s="53" t="s">
        <v>162</v>
      </c>
      <c r="B374" s="429" t="s">
        <v>171</v>
      </c>
      <c r="C374" s="65" t="s">
        <v>178</v>
      </c>
      <c r="D374" s="77">
        <v>2698</v>
      </c>
      <c r="E374" s="87">
        <v>0.52590000000000003</v>
      </c>
      <c r="F374" s="77">
        <v>2453</v>
      </c>
      <c r="G374" s="87">
        <v>0.50880000000000003</v>
      </c>
      <c r="H374" s="90">
        <f t="shared" si="39"/>
        <v>-1.7100000000000004E-2</v>
      </c>
      <c r="I374" s="101">
        <f t="shared" si="40"/>
        <v>1.3939047668786786E-2</v>
      </c>
      <c r="J374" s="101">
        <f t="shared" si="41"/>
        <v>-1.2267696048053143</v>
      </c>
      <c r="K374" s="101">
        <f t="shared" si="42"/>
        <v>0.21990919799795683</v>
      </c>
      <c r="L374" s="109" t="str">
        <f t="shared" si="43"/>
        <v>No</v>
      </c>
      <c r="M374" s="115">
        <f t="shared" si="44"/>
        <v>0</v>
      </c>
      <c r="N374" s="115">
        <v>1</v>
      </c>
    </row>
    <row r="375" spans="1:14" s="53" customFormat="1" ht="77.25" hidden="1" customHeight="1" thickBot="1" x14ac:dyDescent="0.3">
      <c r="A375" s="53" t="s">
        <v>162</v>
      </c>
      <c r="B375" s="430" t="s">
        <v>171</v>
      </c>
      <c r="C375" s="68" t="s">
        <v>179</v>
      </c>
      <c r="D375" s="78">
        <v>2698</v>
      </c>
      <c r="E375" s="88">
        <v>0.61529999999999996</v>
      </c>
      <c r="F375" s="78">
        <v>2453</v>
      </c>
      <c r="G375" s="88">
        <v>0.59189999999999998</v>
      </c>
      <c r="H375" s="90">
        <f t="shared" si="39"/>
        <v>-2.3399999999999976E-2</v>
      </c>
      <c r="I375" s="102">
        <f t="shared" si="40"/>
        <v>1.3645764651172799E-2</v>
      </c>
      <c r="J375" s="102">
        <f t="shared" si="41"/>
        <v>-1.7148177913202423</v>
      </c>
      <c r="K375" s="102">
        <f t="shared" si="42"/>
        <v>8.6378638591310786E-2</v>
      </c>
      <c r="L375" s="109" t="str">
        <f t="shared" si="43"/>
        <v>No</v>
      </c>
      <c r="M375" s="115">
        <f t="shared" si="44"/>
        <v>0</v>
      </c>
      <c r="N375" s="115">
        <v>1</v>
      </c>
    </row>
    <row r="376" spans="1:14" s="60" customFormat="1" ht="77.25" hidden="1" customHeight="1" thickBot="1" x14ac:dyDescent="0.3">
      <c r="B376" s="62"/>
      <c r="C376" s="69" t="s">
        <v>176</v>
      </c>
      <c r="D376" s="79"/>
      <c r="E376" s="89"/>
      <c r="F376" s="79"/>
      <c r="G376" s="89"/>
      <c r="H376" s="93"/>
      <c r="I376" s="103"/>
      <c r="J376" s="103"/>
      <c r="K376" s="103"/>
      <c r="L376" s="110"/>
      <c r="M376" s="116"/>
      <c r="N376" s="116">
        <f>SUM(N370:N375)</f>
        <v>5</v>
      </c>
    </row>
    <row r="377" spans="1:14" s="53" customFormat="1" ht="77.25" hidden="1" customHeight="1" thickBot="1" x14ac:dyDescent="0.3">
      <c r="A377" s="53" t="s">
        <v>163</v>
      </c>
      <c r="B377" s="428" t="s">
        <v>170</v>
      </c>
      <c r="C377" s="67" t="s">
        <v>177</v>
      </c>
      <c r="D377" s="80">
        <v>2512</v>
      </c>
      <c r="E377" s="90">
        <v>0.73329999999999995</v>
      </c>
      <c r="F377" s="80">
        <v>2693</v>
      </c>
      <c r="G377" s="90">
        <v>0.69479999999999997</v>
      </c>
      <c r="H377" s="90">
        <f t="shared" si="39"/>
        <v>-3.8499999999999979E-2</v>
      </c>
      <c r="I377" s="100">
        <f t="shared" si="40"/>
        <v>1.2513873150515187E-2</v>
      </c>
      <c r="J377" s="100">
        <f t="shared" si="41"/>
        <v>-3.0765854453634893</v>
      </c>
      <c r="K377" s="100">
        <f t="shared" si="42"/>
        <v>2.0938628159101746E-3</v>
      </c>
      <c r="L377" s="109" t="str">
        <f t="shared" si="43"/>
        <v>Yes</v>
      </c>
      <c r="M377" s="115">
        <f t="shared" si="44"/>
        <v>0</v>
      </c>
      <c r="N377" s="115">
        <v>0</v>
      </c>
    </row>
    <row r="378" spans="1:14" s="53" customFormat="1" ht="77.25" hidden="1" customHeight="1" thickBot="1" x14ac:dyDescent="0.3">
      <c r="A378" s="53" t="s">
        <v>163</v>
      </c>
      <c r="B378" s="429" t="s">
        <v>170</v>
      </c>
      <c r="C378" s="65" t="s">
        <v>178</v>
      </c>
      <c r="D378" s="74">
        <v>3347</v>
      </c>
      <c r="E378" s="84">
        <v>0.79</v>
      </c>
      <c r="F378" s="74">
        <v>3633</v>
      </c>
      <c r="G378" s="84">
        <v>0.74729999999999996</v>
      </c>
      <c r="H378" s="90">
        <f t="shared" si="39"/>
        <v>-4.2700000000000071E-2</v>
      </c>
      <c r="I378" s="101">
        <f t="shared" si="40"/>
        <v>1.0077033432866223E-2</v>
      </c>
      <c r="J378" s="101">
        <f t="shared" si="41"/>
        <v>-4.2373581753469338</v>
      </c>
      <c r="K378" s="101">
        <f t="shared" si="42"/>
        <v>2.2616519008478164E-5</v>
      </c>
      <c r="L378" s="109" t="str">
        <f t="shared" si="43"/>
        <v>Yes</v>
      </c>
      <c r="M378" s="115">
        <f t="shared" si="44"/>
        <v>0</v>
      </c>
      <c r="N378" s="115">
        <v>0</v>
      </c>
    </row>
    <row r="379" spans="1:14" s="53" customFormat="1" ht="77.25" hidden="1" customHeight="1" thickBot="1" x14ac:dyDescent="0.3">
      <c r="A379" s="53" t="s">
        <v>163</v>
      </c>
      <c r="B379" s="430" t="s">
        <v>170</v>
      </c>
      <c r="C379" s="68" t="s">
        <v>179</v>
      </c>
      <c r="D379" s="75">
        <v>3543</v>
      </c>
      <c r="E379" s="85">
        <v>0.80840000000000001</v>
      </c>
      <c r="F379" s="75">
        <v>3819</v>
      </c>
      <c r="G379" s="85">
        <v>0.78739999999999999</v>
      </c>
      <c r="H379" s="90">
        <f t="shared" si="39"/>
        <v>-2.1000000000000019E-2</v>
      </c>
      <c r="I379" s="102">
        <f t="shared" si="40"/>
        <v>9.356859500648464E-3</v>
      </c>
      <c r="J379" s="102">
        <f t="shared" si="41"/>
        <v>-2.244342773186307</v>
      </c>
      <c r="K379" s="102">
        <f t="shared" si="42"/>
        <v>2.48103554793484E-2</v>
      </c>
      <c r="L379" s="109" t="str">
        <f t="shared" si="43"/>
        <v>Yes</v>
      </c>
      <c r="M379" s="115">
        <f t="shared" si="44"/>
        <v>0</v>
      </c>
      <c r="N379" s="115">
        <v>0</v>
      </c>
    </row>
    <row r="380" spans="1:14" s="53" customFormat="1" ht="77.25" hidden="1" customHeight="1" thickBot="1" x14ac:dyDescent="0.3">
      <c r="A380" s="53" t="s">
        <v>163</v>
      </c>
      <c r="B380" s="428" t="s">
        <v>171</v>
      </c>
      <c r="C380" s="67" t="s">
        <v>177</v>
      </c>
      <c r="D380" s="76">
        <v>4006</v>
      </c>
      <c r="E380" s="86">
        <v>0.67369999999999997</v>
      </c>
      <c r="F380" s="76">
        <v>4397</v>
      </c>
      <c r="G380" s="86">
        <v>0.6643</v>
      </c>
      <c r="H380" s="90">
        <f t="shared" si="39"/>
        <v>-9.3999999999999639E-3</v>
      </c>
      <c r="I380" s="100">
        <f t="shared" si="40"/>
        <v>1.0275817048920442E-2</v>
      </c>
      <c r="J380" s="100">
        <f t="shared" si="41"/>
        <v>-0.91476910840754122</v>
      </c>
      <c r="K380" s="100">
        <f t="shared" si="42"/>
        <v>0.3603128553395698</v>
      </c>
      <c r="L380" s="109" t="str">
        <f t="shared" si="43"/>
        <v>No</v>
      </c>
      <c r="M380" s="115">
        <f t="shared" si="44"/>
        <v>0</v>
      </c>
      <c r="N380" s="115">
        <v>1</v>
      </c>
    </row>
    <row r="381" spans="1:14" s="53" customFormat="1" ht="77.25" hidden="1" customHeight="1" thickBot="1" x14ac:dyDescent="0.3">
      <c r="A381" s="53" t="s">
        <v>163</v>
      </c>
      <c r="B381" s="429" t="s">
        <v>171</v>
      </c>
      <c r="C381" s="65" t="s">
        <v>178</v>
      </c>
      <c r="D381" s="77">
        <v>4008</v>
      </c>
      <c r="E381" s="87">
        <v>0.57289999999999996</v>
      </c>
      <c r="F381" s="77">
        <v>4400</v>
      </c>
      <c r="G381" s="87">
        <v>0.55269999999999997</v>
      </c>
      <c r="H381" s="90">
        <f t="shared" si="39"/>
        <v>-2.0199999999999996E-2</v>
      </c>
      <c r="I381" s="101">
        <f t="shared" si="40"/>
        <v>1.0827570292898133E-2</v>
      </c>
      <c r="J381" s="101">
        <f t="shared" si="41"/>
        <v>-1.865607837544984</v>
      </c>
      <c r="K381" s="101">
        <f t="shared" si="42"/>
        <v>6.2096252286473197E-2</v>
      </c>
      <c r="L381" s="109" t="str">
        <f t="shared" si="43"/>
        <v>No</v>
      </c>
      <c r="M381" s="115">
        <f t="shared" si="44"/>
        <v>0</v>
      </c>
      <c r="N381" s="115">
        <v>1</v>
      </c>
    </row>
    <row r="382" spans="1:14" s="53" customFormat="1" ht="77.25" hidden="1" customHeight="1" thickBot="1" x14ac:dyDescent="0.3">
      <c r="A382" s="53" t="s">
        <v>163</v>
      </c>
      <c r="B382" s="430" t="s">
        <v>171</v>
      </c>
      <c r="C382" s="68" t="s">
        <v>179</v>
      </c>
      <c r="D382" s="78">
        <v>4007</v>
      </c>
      <c r="E382" s="88">
        <v>0.56200000000000006</v>
      </c>
      <c r="F382" s="78">
        <v>4400</v>
      </c>
      <c r="G382" s="88">
        <v>0.56430000000000002</v>
      </c>
      <c r="H382" s="90">
        <f t="shared" si="39"/>
        <v>2.2999999999999687E-3</v>
      </c>
      <c r="I382" s="102">
        <f t="shared" si="40"/>
        <v>1.0830975020004113E-2</v>
      </c>
      <c r="J382" s="102">
        <f t="shared" si="41"/>
        <v>0.21235391973040443</v>
      </c>
      <c r="K382" s="102">
        <f t="shared" si="42"/>
        <v>0.83183093263009811</v>
      </c>
      <c r="L382" s="109" t="str">
        <f t="shared" si="43"/>
        <v>No</v>
      </c>
      <c r="M382" s="115">
        <f t="shared" si="44"/>
        <v>1</v>
      </c>
      <c r="N382" s="115">
        <v>1</v>
      </c>
    </row>
    <row r="383" spans="1:14" s="60" customFormat="1" ht="77.25" hidden="1" customHeight="1" thickBot="1" x14ac:dyDescent="0.3">
      <c r="B383" s="62"/>
      <c r="C383" s="69" t="s">
        <v>176</v>
      </c>
      <c r="D383" s="79"/>
      <c r="E383" s="89"/>
      <c r="F383" s="79"/>
      <c r="G383" s="89"/>
      <c r="H383" s="93"/>
      <c r="I383" s="103"/>
      <c r="J383" s="103"/>
      <c r="K383" s="103"/>
      <c r="L383" s="110"/>
      <c r="M383" s="116"/>
      <c r="N383" s="116">
        <f>SUM(N377:N382)</f>
        <v>3</v>
      </c>
    </row>
    <row r="384" spans="1:14" s="53" customFormat="1" ht="77.25" hidden="1" customHeight="1" thickBot="1" x14ac:dyDescent="0.3">
      <c r="A384" s="53" t="s">
        <v>164</v>
      </c>
      <c r="B384" s="428" t="s">
        <v>170</v>
      </c>
      <c r="C384" s="67" t="s">
        <v>177</v>
      </c>
      <c r="D384" s="80">
        <v>66</v>
      </c>
      <c r="E384" s="90">
        <v>0.90910000000000002</v>
      </c>
      <c r="F384" s="80">
        <v>62</v>
      </c>
      <c r="G384" s="90">
        <v>0.871</v>
      </c>
      <c r="H384" s="90">
        <f t="shared" si="39"/>
        <v>-3.8100000000000023E-2</v>
      </c>
      <c r="I384" s="100">
        <f t="shared" si="40"/>
        <v>5.5356305619572437E-2</v>
      </c>
      <c r="J384" s="100">
        <f t="shared" si="41"/>
        <v>-0.68826847408922698</v>
      </c>
      <c r="K384" s="100">
        <f t="shared" si="42"/>
        <v>0.49128373066486342</v>
      </c>
      <c r="L384" s="109" t="str">
        <f t="shared" si="43"/>
        <v>No</v>
      </c>
      <c r="M384" s="115">
        <f t="shared" si="44"/>
        <v>0</v>
      </c>
      <c r="N384" s="115">
        <v>1</v>
      </c>
    </row>
    <row r="385" spans="1:14" s="53" customFormat="1" ht="77.25" hidden="1" customHeight="1" thickBot="1" x14ac:dyDescent="0.3">
      <c r="A385" s="53" t="s">
        <v>164</v>
      </c>
      <c r="B385" s="429" t="s">
        <v>170</v>
      </c>
      <c r="C385" s="65" t="s">
        <v>178</v>
      </c>
      <c r="D385" s="74">
        <v>69</v>
      </c>
      <c r="E385" s="84">
        <v>0.95650000000000002</v>
      </c>
      <c r="F385" s="74">
        <v>62</v>
      </c>
      <c r="G385" s="84">
        <v>0.9194</v>
      </c>
      <c r="H385" s="90">
        <f t="shared" si="39"/>
        <v>-3.7100000000000022E-2</v>
      </c>
      <c r="I385" s="101">
        <f t="shared" si="40"/>
        <v>4.2405552343593132E-2</v>
      </c>
      <c r="J385" s="101">
        <f t="shared" si="41"/>
        <v>-0.87488543244043604</v>
      </c>
      <c r="K385" s="101">
        <f t="shared" si="42"/>
        <v>0.38163624618400638</v>
      </c>
      <c r="L385" s="109" t="str">
        <f t="shared" si="43"/>
        <v>No</v>
      </c>
      <c r="M385" s="115">
        <f t="shared" si="44"/>
        <v>0</v>
      </c>
      <c r="N385" s="115">
        <v>1</v>
      </c>
    </row>
    <row r="386" spans="1:14" s="53" customFormat="1" ht="77.25" hidden="1" customHeight="1" thickBot="1" x14ac:dyDescent="0.3">
      <c r="A386" s="53" t="s">
        <v>164</v>
      </c>
      <c r="B386" s="430" t="s">
        <v>170</v>
      </c>
      <c r="C386" s="68" t="s">
        <v>179</v>
      </c>
      <c r="D386" s="75">
        <v>64</v>
      </c>
      <c r="E386" s="85">
        <v>0.89059999999999995</v>
      </c>
      <c r="F386" s="75">
        <v>56</v>
      </c>
      <c r="G386" s="85">
        <v>0.85709999999999997</v>
      </c>
      <c r="H386" s="90">
        <f t="shared" si="39"/>
        <v>-3.3499999999999974E-2</v>
      </c>
      <c r="I386" s="102">
        <f t="shared" si="40"/>
        <v>6.0905705075257825E-2</v>
      </c>
      <c r="J386" s="102">
        <f t="shared" si="41"/>
        <v>-0.55003057527379196</v>
      </c>
      <c r="K386" s="102">
        <f t="shared" si="42"/>
        <v>0.58229840254850007</v>
      </c>
      <c r="L386" s="109" t="str">
        <f t="shared" si="43"/>
        <v>No</v>
      </c>
      <c r="M386" s="115">
        <f t="shared" si="44"/>
        <v>0</v>
      </c>
      <c r="N386" s="115">
        <v>1</v>
      </c>
    </row>
    <row r="387" spans="1:14" s="53" customFormat="1" ht="77.25" hidden="1" customHeight="1" thickBot="1" x14ac:dyDescent="0.3">
      <c r="A387" s="53" t="s">
        <v>164</v>
      </c>
      <c r="B387" s="428" t="s">
        <v>171</v>
      </c>
      <c r="C387" s="67" t="s">
        <v>177</v>
      </c>
      <c r="D387" s="76">
        <v>75</v>
      </c>
      <c r="E387" s="86">
        <v>0.52</v>
      </c>
      <c r="F387" s="76">
        <v>66</v>
      </c>
      <c r="G387" s="86">
        <v>0.43940000000000001</v>
      </c>
      <c r="H387" s="90">
        <f t="shared" si="39"/>
        <v>-8.0600000000000005E-2</v>
      </c>
      <c r="I387" s="100">
        <f t="shared" si="40"/>
        <v>8.4025216272836628E-2</v>
      </c>
      <c r="J387" s="100">
        <f t="shared" si="41"/>
        <v>-0.95923585294068547</v>
      </c>
      <c r="K387" s="100">
        <f t="shared" si="42"/>
        <v>0.33743994255994658</v>
      </c>
      <c r="L387" s="109" t="str">
        <f t="shared" si="43"/>
        <v>No</v>
      </c>
      <c r="M387" s="115">
        <f t="shared" si="44"/>
        <v>0</v>
      </c>
      <c r="N387" s="115">
        <v>1</v>
      </c>
    </row>
    <row r="388" spans="1:14" s="53" customFormat="1" ht="77.25" hidden="1" customHeight="1" thickBot="1" x14ac:dyDescent="0.3">
      <c r="A388" s="53" t="s">
        <v>164</v>
      </c>
      <c r="B388" s="429" t="s">
        <v>171</v>
      </c>
      <c r="C388" s="65" t="s">
        <v>178</v>
      </c>
      <c r="D388" s="77">
        <v>75</v>
      </c>
      <c r="E388" s="87">
        <v>0.54669999999999996</v>
      </c>
      <c r="F388" s="77">
        <v>66</v>
      </c>
      <c r="G388" s="87">
        <v>0.40910000000000002</v>
      </c>
      <c r="H388" s="90">
        <f t="shared" si="39"/>
        <v>-0.13759999999999994</v>
      </c>
      <c r="I388" s="101">
        <f t="shared" si="40"/>
        <v>8.3468194523241585E-2</v>
      </c>
      <c r="J388" s="101">
        <f t="shared" si="41"/>
        <v>-1.6485321239539386</v>
      </c>
      <c r="K388" s="101">
        <f t="shared" si="42"/>
        <v>9.9243524290375973E-2</v>
      </c>
      <c r="L388" s="109" t="str">
        <f t="shared" si="43"/>
        <v>No</v>
      </c>
      <c r="M388" s="115">
        <f t="shared" si="44"/>
        <v>0</v>
      </c>
      <c r="N388" s="115">
        <v>1</v>
      </c>
    </row>
    <row r="389" spans="1:14" s="53" customFormat="1" ht="77.25" hidden="1" customHeight="1" thickBot="1" x14ac:dyDescent="0.3">
      <c r="A389" s="53" t="s">
        <v>164</v>
      </c>
      <c r="B389" s="430" t="s">
        <v>171</v>
      </c>
      <c r="C389" s="68" t="s">
        <v>179</v>
      </c>
      <c r="D389" s="78">
        <v>75</v>
      </c>
      <c r="E389" s="88">
        <v>0.62670000000000003</v>
      </c>
      <c r="F389" s="78">
        <v>66</v>
      </c>
      <c r="G389" s="88">
        <v>0.46970000000000001</v>
      </c>
      <c r="H389" s="90">
        <f t="shared" si="39"/>
        <v>-0.15700000000000003</v>
      </c>
      <c r="I389" s="102">
        <f t="shared" si="40"/>
        <v>8.3025677554196042E-2</v>
      </c>
      <c r="J389" s="102">
        <f t="shared" si="41"/>
        <v>-1.8909812557388204</v>
      </c>
      <c r="K389" s="102">
        <f t="shared" si="42"/>
        <v>5.8626846436482305E-2</v>
      </c>
      <c r="L389" s="109" t="str">
        <f t="shared" si="43"/>
        <v>No</v>
      </c>
      <c r="M389" s="115">
        <f t="shared" si="44"/>
        <v>0</v>
      </c>
      <c r="N389" s="115">
        <v>1</v>
      </c>
    </row>
    <row r="390" spans="1:14" s="60" customFormat="1" ht="77.25" hidden="1" customHeight="1" thickBot="1" x14ac:dyDescent="0.3">
      <c r="B390" s="62"/>
      <c r="C390" s="69" t="s">
        <v>176</v>
      </c>
      <c r="D390" s="79"/>
      <c r="E390" s="89"/>
      <c r="F390" s="79"/>
      <c r="G390" s="89"/>
      <c r="H390" s="93"/>
      <c r="I390" s="103"/>
      <c r="J390" s="103"/>
      <c r="K390" s="103"/>
      <c r="L390" s="110"/>
      <c r="M390" s="116"/>
      <c r="N390" s="116">
        <f>SUM(N384:N389)</f>
        <v>6</v>
      </c>
    </row>
    <row r="391" spans="1:14" s="53" customFormat="1" ht="77.25" hidden="1" customHeight="1" thickBot="1" x14ac:dyDescent="0.3">
      <c r="A391" s="53" t="s">
        <v>165</v>
      </c>
      <c r="B391" s="428" t="s">
        <v>170</v>
      </c>
      <c r="C391" s="67" t="s">
        <v>177</v>
      </c>
      <c r="D391" s="80">
        <v>346</v>
      </c>
      <c r="E391" s="90">
        <v>0.67049999999999998</v>
      </c>
      <c r="F391" s="80">
        <v>318</v>
      </c>
      <c r="G391" s="90">
        <v>0.66669999999999996</v>
      </c>
      <c r="H391" s="90">
        <f t="shared" si="39"/>
        <v>-3.8000000000000256E-3</v>
      </c>
      <c r="I391" s="100">
        <f t="shared" si="40"/>
        <v>3.6569144978916841E-2</v>
      </c>
      <c r="J391" s="100">
        <f t="shared" si="41"/>
        <v>-0.10391273851742594</v>
      </c>
      <c r="K391" s="100">
        <f t="shared" si="42"/>
        <v>0.91723859796164642</v>
      </c>
      <c r="L391" s="109" t="str">
        <f t="shared" si="43"/>
        <v>No</v>
      </c>
      <c r="M391" s="115">
        <f t="shared" si="44"/>
        <v>0</v>
      </c>
      <c r="N391" s="115">
        <v>1</v>
      </c>
    </row>
    <row r="392" spans="1:14" s="53" customFormat="1" ht="77.25" hidden="1" customHeight="1" thickBot="1" x14ac:dyDescent="0.3">
      <c r="A392" s="53" t="s">
        <v>165</v>
      </c>
      <c r="B392" s="429" t="s">
        <v>170</v>
      </c>
      <c r="C392" s="65" t="s">
        <v>178</v>
      </c>
      <c r="D392" s="74">
        <v>434</v>
      </c>
      <c r="E392" s="84">
        <v>0.74419999999999997</v>
      </c>
      <c r="F392" s="74">
        <v>415</v>
      </c>
      <c r="G392" s="84">
        <v>0.7157</v>
      </c>
      <c r="H392" s="90">
        <f t="shared" si="39"/>
        <v>-2.849999999999997E-2</v>
      </c>
      <c r="I392" s="101">
        <f t="shared" si="40"/>
        <v>3.0478349370601565E-2</v>
      </c>
      <c r="J392" s="101">
        <f t="shared" si="41"/>
        <v>-0.93509000941796905</v>
      </c>
      <c r="K392" s="101">
        <f t="shared" si="42"/>
        <v>0.34974191478616978</v>
      </c>
      <c r="L392" s="109" t="str">
        <f t="shared" si="43"/>
        <v>No</v>
      </c>
      <c r="M392" s="115">
        <f t="shared" si="44"/>
        <v>0</v>
      </c>
      <c r="N392" s="115">
        <v>1</v>
      </c>
    </row>
    <row r="393" spans="1:14" s="53" customFormat="1" ht="77.25" hidden="1" customHeight="1" thickBot="1" x14ac:dyDescent="0.3">
      <c r="A393" s="53" t="s">
        <v>165</v>
      </c>
      <c r="B393" s="430" t="s">
        <v>170</v>
      </c>
      <c r="C393" s="68" t="s">
        <v>179</v>
      </c>
      <c r="D393" s="75">
        <v>391</v>
      </c>
      <c r="E393" s="85">
        <v>0.74419999999999997</v>
      </c>
      <c r="F393" s="75">
        <v>401</v>
      </c>
      <c r="G393" s="85">
        <v>0.74309999999999998</v>
      </c>
      <c r="H393" s="90">
        <f t="shared" si="39"/>
        <v>-1.0999999999999899E-3</v>
      </c>
      <c r="I393" s="102">
        <f t="shared" si="40"/>
        <v>3.1031214871598555E-2</v>
      </c>
      <c r="J393" s="102">
        <f t="shared" si="41"/>
        <v>-3.5448177087219659E-2</v>
      </c>
      <c r="K393" s="102">
        <f t="shared" si="42"/>
        <v>0.97172236906996257</v>
      </c>
      <c r="L393" s="109" t="str">
        <f t="shared" si="43"/>
        <v>No</v>
      </c>
      <c r="M393" s="115">
        <f t="shared" si="44"/>
        <v>0</v>
      </c>
      <c r="N393" s="115">
        <v>1</v>
      </c>
    </row>
    <row r="394" spans="1:14" s="53" customFormat="1" ht="77.25" hidden="1" customHeight="1" thickBot="1" x14ac:dyDescent="0.3">
      <c r="A394" s="53" t="s">
        <v>165</v>
      </c>
      <c r="B394" s="428" t="s">
        <v>171</v>
      </c>
      <c r="C394" s="67" t="s">
        <v>177</v>
      </c>
      <c r="D394" s="76">
        <v>519</v>
      </c>
      <c r="E394" s="86">
        <v>0.62619999999999998</v>
      </c>
      <c r="F394" s="76">
        <v>494</v>
      </c>
      <c r="G394" s="86">
        <v>0.61539999999999995</v>
      </c>
      <c r="H394" s="90">
        <f t="shared" si="39"/>
        <v>-1.0800000000000032E-2</v>
      </c>
      <c r="I394" s="100">
        <f t="shared" si="40"/>
        <v>3.0497931845551635E-2</v>
      </c>
      <c r="J394" s="100">
        <f t="shared" si="41"/>
        <v>-0.35412237310692585</v>
      </c>
      <c r="K394" s="100">
        <f t="shared" si="42"/>
        <v>0.7232471757860639</v>
      </c>
      <c r="L394" s="109" t="str">
        <f t="shared" si="43"/>
        <v>No</v>
      </c>
      <c r="M394" s="115">
        <f t="shared" si="44"/>
        <v>0</v>
      </c>
      <c r="N394" s="115">
        <v>1</v>
      </c>
    </row>
    <row r="395" spans="1:14" s="53" customFormat="1" ht="77.25" hidden="1" customHeight="1" thickBot="1" x14ac:dyDescent="0.3">
      <c r="A395" s="53" t="s">
        <v>165</v>
      </c>
      <c r="B395" s="429" t="s">
        <v>171</v>
      </c>
      <c r="C395" s="65" t="s">
        <v>178</v>
      </c>
      <c r="D395" s="77">
        <v>519</v>
      </c>
      <c r="E395" s="87">
        <v>0.54530000000000001</v>
      </c>
      <c r="F395" s="77">
        <v>494</v>
      </c>
      <c r="G395" s="87">
        <v>0.54049999999999998</v>
      </c>
      <c r="H395" s="90">
        <f t="shared" si="39"/>
        <v>-4.8000000000000265E-3</v>
      </c>
      <c r="I395" s="101">
        <f t="shared" si="40"/>
        <v>3.1312843501178633E-2</v>
      </c>
      <c r="J395" s="101">
        <f t="shared" si="41"/>
        <v>-0.15329173154840925</v>
      </c>
      <c r="K395" s="101">
        <f t="shared" si="42"/>
        <v>0.87816822088172142</v>
      </c>
      <c r="L395" s="109" t="str">
        <f t="shared" si="43"/>
        <v>No</v>
      </c>
      <c r="M395" s="115">
        <f t="shared" si="44"/>
        <v>0</v>
      </c>
      <c r="N395" s="115">
        <v>1</v>
      </c>
    </row>
    <row r="396" spans="1:14" s="53" customFormat="1" ht="77.25" hidden="1" customHeight="1" thickBot="1" x14ac:dyDescent="0.3">
      <c r="A396" s="53" t="s">
        <v>165</v>
      </c>
      <c r="B396" s="430" t="s">
        <v>171</v>
      </c>
      <c r="C396" s="68" t="s">
        <v>179</v>
      </c>
      <c r="D396" s="78">
        <v>519</v>
      </c>
      <c r="E396" s="88">
        <v>0.62619999999999998</v>
      </c>
      <c r="F396" s="78">
        <v>494</v>
      </c>
      <c r="G396" s="88">
        <v>0.60119999999999996</v>
      </c>
      <c r="H396" s="90">
        <f t="shared" si="39"/>
        <v>-2.5000000000000022E-2</v>
      </c>
      <c r="I396" s="102">
        <f t="shared" si="40"/>
        <v>3.0599836612342664E-2</v>
      </c>
      <c r="J396" s="102">
        <f t="shared" si="41"/>
        <v>-0.81699782638434393</v>
      </c>
      <c r="K396" s="102">
        <f t="shared" si="42"/>
        <v>0.41392967021329286</v>
      </c>
      <c r="L396" s="109" t="str">
        <f t="shared" si="43"/>
        <v>No</v>
      </c>
      <c r="M396" s="115">
        <f t="shared" si="44"/>
        <v>0</v>
      </c>
      <c r="N396" s="115">
        <v>1</v>
      </c>
    </row>
    <row r="397" spans="1:14" s="60" customFormat="1" ht="77.25" hidden="1" customHeight="1" thickBot="1" x14ac:dyDescent="0.3">
      <c r="B397" s="62"/>
      <c r="C397" s="69" t="s">
        <v>176</v>
      </c>
      <c r="D397" s="79"/>
      <c r="E397" s="89"/>
      <c r="F397" s="79"/>
      <c r="G397" s="89"/>
      <c r="H397" s="93"/>
      <c r="I397" s="103"/>
      <c r="J397" s="103"/>
      <c r="K397" s="103"/>
      <c r="L397" s="110"/>
      <c r="M397" s="116"/>
      <c r="N397" s="116">
        <f>SUM(N391:N396)</f>
        <v>6</v>
      </c>
    </row>
    <row r="398" spans="1:14" s="53" customFormat="1" ht="77.25" hidden="1" customHeight="1" thickBot="1" x14ac:dyDescent="0.3">
      <c r="A398" s="53" t="s">
        <v>166</v>
      </c>
      <c r="B398" s="428" t="s">
        <v>170</v>
      </c>
      <c r="C398" s="67" t="s">
        <v>177</v>
      </c>
      <c r="D398" s="80">
        <v>2869</v>
      </c>
      <c r="E398" s="90">
        <v>0.57550000000000001</v>
      </c>
      <c r="F398" s="80">
        <v>3431</v>
      </c>
      <c r="G398" s="90">
        <v>0.65110000000000001</v>
      </c>
      <c r="H398" s="90">
        <f t="shared" si="39"/>
        <v>7.5600000000000001E-2</v>
      </c>
      <c r="I398" s="100">
        <f t="shared" si="40"/>
        <v>1.2302934534683374E-2</v>
      </c>
      <c r="J398" s="100">
        <f t="shared" si="41"/>
        <v>6.1448754186958396</v>
      </c>
      <c r="K398" s="100">
        <f t="shared" si="42"/>
        <v>8.0026296700452804E-10</v>
      </c>
      <c r="L398" s="109" t="str">
        <f t="shared" si="43"/>
        <v>Yes</v>
      </c>
      <c r="M398" s="115">
        <f t="shared" si="44"/>
        <v>1</v>
      </c>
      <c r="N398" s="115">
        <v>2</v>
      </c>
    </row>
    <row r="399" spans="1:14" s="53" customFormat="1" ht="77.25" hidden="1" customHeight="1" thickBot="1" x14ac:dyDescent="0.3">
      <c r="A399" s="53" t="s">
        <v>166</v>
      </c>
      <c r="B399" s="429" t="s">
        <v>170</v>
      </c>
      <c r="C399" s="65" t="s">
        <v>178</v>
      </c>
      <c r="D399" s="74">
        <v>3214</v>
      </c>
      <c r="E399" s="84">
        <v>0.6179</v>
      </c>
      <c r="F399" s="74">
        <v>2985</v>
      </c>
      <c r="G399" s="84">
        <v>0.56210000000000004</v>
      </c>
      <c r="H399" s="90">
        <f t="shared" si="39"/>
        <v>-5.5799999999999961E-2</v>
      </c>
      <c r="I399" s="101">
        <f t="shared" si="40"/>
        <v>1.2486789006231791E-2</v>
      </c>
      <c r="J399" s="101">
        <f t="shared" si="41"/>
        <v>-4.4687229016324226</v>
      </c>
      <c r="K399" s="101">
        <f t="shared" si="42"/>
        <v>7.8687986746484029E-6</v>
      </c>
      <c r="L399" s="109" t="str">
        <f t="shared" si="43"/>
        <v>Yes</v>
      </c>
      <c r="M399" s="115">
        <f t="shared" si="44"/>
        <v>0</v>
      </c>
      <c r="N399" s="115">
        <v>0</v>
      </c>
    </row>
    <row r="400" spans="1:14" s="53" customFormat="1" ht="77.25" hidden="1" customHeight="1" thickBot="1" x14ac:dyDescent="0.3">
      <c r="A400" s="53" t="s">
        <v>166</v>
      </c>
      <c r="B400" s="430" t="s">
        <v>170</v>
      </c>
      <c r="C400" s="68" t="s">
        <v>179</v>
      </c>
      <c r="D400" s="75">
        <v>3303</v>
      </c>
      <c r="E400" s="85">
        <v>0.65400000000000003</v>
      </c>
      <c r="F400" s="75">
        <v>3503</v>
      </c>
      <c r="G400" s="85">
        <v>0.68259999999999998</v>
      </c>
      <c r="H400" s="90">
        <f t="shared" si="39"/>
        <v>2.8599999999999959E-2</v>
      </c>
      <c r="I400" s="102">
        <f t="shared" si="40"/>
        <v>1.141742894066611E-2</v>
      </c>
      <c r="J400" s="102">
        <f t="shared" si="41"/>
        <v>2.5049422377514174</v>
      </c>
      <c r="K400" s="102">
        <f t="shared" si="42"/>
        <v>1.2247139251972738E-2</v>
      </c>
      <c r="L400" s="109" t="str">
        <f t="shared" si="43"/>
        <v>Yes</v>
      </c>
      <c r="M400" s="115">
        <f t="shared" si="44"/>
        <v>1</v>
      </c>
      <c r="N400" s="115">
        <v>2</v>
      </c>
    </row>
    <row r="401" spans="1:14" s="53" customFormat="1" ht="77.25" hidden="1" customHeight="1" thickBot="1" x14ac:dyDescent="0.3">
      <c r="A401" s="53" t="s">
        <v>166</v>
      </c>
      <c r="B401" s="428" t="s">
        <v>171</v>
      </c>
      <c r="C401" s="67" t="s">
        <v>177</v>
      </c>
      <c r="D401" s="76">
        <v>4398</v>
      </c>
      <c r="E401" s="86">
        <v>0.57689999999999997</v>
      </c>
      <c r="F401" s="76">
        <v>4568</v>
      </c>
      <c r="G401" s="86">
        <v>0.54769999999999996</v>
      </c>
      <c r="H401" s="90">
        <f t="shared" si="39"/>
        <v>-2.9200000000000004E-2</v>
      </c>
      <c r="I401" s="100">
        <f t="shared" si="40"/>
        <v>1.0475202131739291E-2</v>
      </c>
      <c r="J401" s="100">
        <f t="shared" si="41"/>
        <v>-2.7875357088838979</v>
      </c>
      <c r="K401" s="100">
        <f t="shared" si="42"/>
        <v>5.3110600629626692E-3</v>
      </c>
      <c r="L401" s="109" t="str">
        <f t="shared" si="43"/>
        <v>Yes</v>
      </c>
      <c r="M401" s="115">
        <f t="shared" si="44"/>
        <v>0</v>
      </c>
      <c r="N401" s="115">
        <v>0</v>
      </c>
    </row>
    <row r="402" spans="1:14" s="53" customFormat="1" ht="77.25" hidden="1" customHeight="1" thickBot="1" x14ac:dyDescent="0.3">
      <c r="A402" s="53" t="s">
        <v>166</v>
      </c>
      <c r="B402" s="429" t="s">
        <v>171</v>
      </c>
      <c r="C402" s="65" t="s">
        <v>178</v>
      </c>
      <c r="D402" s="77">
        <v>4398</v>
      </c>
      <c r="E402" s="87">
        <v>0.54979999999999996</v>
      </c>
      <c r="F402" s="77">
        <v>4568</v>
      </c>
      <c r="G402" s="87">
        <v>0.56789999999999996</v>
      </c>
      <c r="H402" s="90">
        <f t="shared" si="39"/>
        <v>1.8100000000000005E-2</v>
      </c>
      <c r="I402" s="101">
        <f t="shared" si="40"/>
        <v>1.0488058947906234E-2</v>
      </c>
      <c r="J402" s="101">
        <f t="shared" si="41"/>
        <v>1.725772146199976</v>
      </c>
      <c r="K402" s="101">
        <f t="shared" si="42"/>
        <v>8.4388412715945993E-2</v>
      </c>
      <c r="L402" s="109" t="str">
        <f t="shared" si="43"/>
        <v>No</v>
      </c>
      <c r="M402" s="115">
        <f t="shared" si="44"/>
        <v>1</v>
      </c>
      <c r="N402" s="115">
        <v>1</v>
      </c>
    </row>
    <row r="403" spans="1:14" s="53" customFormat="1" ht="77.25" hidden="1" customHeight="1" thickBot="1" x14ac:dyDescent="0.3">
      <c r="A403" s="53" t="s">
        <v>166</v>
      </c>
      <c r="B403" s="430" t="s">
        <v>171</v>
      </c>
      <c r="C403" s="68" t="s">
        <v>179</v>
      </c>
      <c r="D403" s="78">
        <v>4398</v>
      </c>
      <c r="E403" s="88">
        <v>0.57250000000000001</v>
      </c>
      <c r="F403" s="78">
        <v>4566</v>
      </c>
      <c r="G403" s="88">
        <v>0.58169999999999999</v>
      </c>
      <c r="H403" s="90">
        <f t="shared" si="39"/>
        <v>9.199999999999986E-3</v>
      </c>
      <c r="I403" s="102">
        <f t="shared" si="40"/>
        <v>1.0437409877374989E-2</v>
      </c>
      <c r="J403" s="102">
        <f t="shared" si="41"/>
        <v>0.88144473658571976</v>
      </c>
      <c r="K403" s="102">
        <f t="shared" si="42"/>
        <v>0.37807715295585043</v>
      </c>
      <c r="L403" s="109" t="str">
        <f t="shared" si="43"/>
        <v>No</v>
      </c>
      <c r="M403" s="115">
        <f t="shared" si="44"/>
        <v>1</v>
      </c>
      <c r="N403" s="115">
        <v>1</v>
      </c>
    </row>
    <row r="404" spans="1:14" s="60" customFormat="1" ht="77.25" hidden="1" customHeight="1" thickBot="1" x14ac:dyDescent="0.3">
      <c r="B404" s="62"/>
      <c r="C404" s="69" t="s">
        <v>176</v>
      </c>
      <c r="D404" s="79"/>
      <c r="E404" s="89"/>
      <c r="F404" s="79"/>
      <c r="G404" s="89"/>
      <c r="H404" s="93"/>
      <c r="I404" s="103"/>
      <c r="J404" s="103"/>
      <c r="K404" s="103"/>
      <c r="L404" s="110"/>
      <c r="M404" s="116"/>
      <c r="N404" s="116">
        <f>SUM(N398:N403)</f>
        <v>6</v>
      </c>
    </row>
    <row r="405" spans="1:14" s="53" customFormat="1" ht="77.25" hidden="1" customHeight="1" thickBot="1" x14ac:dyDescent="0.3">
      <c r="A405" s="53" t="s">
        <v>167</v>
      </c>
      <c r="B405" s="428" t="s">
        <v>170</v>
      </c>
      <c r="C405" s="67" t="s">
        <v>177</v>
      </c>
      <c r="D405" s="80">
        <v>2424</v>
      </c>
      <c r="E405" s="90">
        <v>0.56059999999999999</v>
      </c>
      <c r="F405" s="80">
        <v>2482</v>
      </c>
      <c r="G405" s="90">
        <v>0.54920000000000002</v>
      </c>
      <c r="H405" s="90">
        <f t="shared" si="39"/>
        <v>-1.1399999999999966E-2</v>
      </c>
      <c r="I405" s="100">
        <f t="shared" si="40"/>
        <v>1.419049883285394E-2</v>
      </c>
      <c r="J405" s="100">
        <f t="shared" si="41"/>
        <v>-0.80335442286261338</v>
      </c>
      <c r="K405" s="100">
        <f t="shared" si="42"/>
        <v>0.42176991026063582</v>
      </c>
      <c r="L405" s="109" t="str">
        <f t="shared" si="43"/>
        <v>No</v>
      </c>
      <c r="M405" s="115">
        <f t="shared" si="44"/>
        <v>0</v>
      </c>
      <c r="N405" s="115">
        <v>1</v>
      </c>
    </row>
    <row r="406" spans="1:14" s="53" customFormat="1" ht="77.25" hidden="1" customHeight="1" thickBot="1" x14ac:dyDescent="0.3">
      <c r="A406" s="53" t="s">
        <v>167</v>
      </c>
      <c r="B406" s="429" t="s">
        <v>170</v>
      </c>
      <c r="C406" s="65" t="s">
        <v>178</v>
      </c>
      <c r="D406" s="74">
        <v>3436</v>
      </c>
      <c r="E406" s="84">
        <v>0.62280000000000002</v>
      </c>
      <c r="F406" s="74">
        <v>3409</v>
      </c>
      <c r="G406" s="84">
        <v>0.62390000000000001</v>
      </c>
      <c r="H406" s="90">
        <f t="shared" si="39"/>
        <v>1.0999999999999899E-3</v>
      </c>
      <c r="I406" s="101">
        <f t="shared" si="40"/>
        <v>1.1713342466075791E-2</v>
      </c>
      <c r="J406" s="101">
        <f t="shared" si="41"/>
        <v>9.3910000769277635E-2</v>
      </c>
      <c r="K406" s="101">
        <f t="shared" si="42"/>
        <v>0.92518064948401646</v>
      </c>
      <c r="L406" s="109" t="str">
        <f t="shared" si="43"/>
        <v>No</v>
      </c>
      <c r="M406" s="115">
        <f t="shared" si="44"/>
        <v>1</v>
      </c>
      <c r="N406" s="115">
        <v>1</v>
      </c>
    </row>
    <row r="407" spans="1:14" s="53" customFormat="1" ht="77.25" hidden="1" customHeight="1" thickBot="1" x14ac:dyDescent="0.3">
      <c r="A407" s="53" t="s">
        <v>167</v>
      </c>
      <c r="B407" s="430" t="s">
        <v>170</v>
      </c>
      <c r="C407" s="68" t="s">
        <v>179</v>
      </c>
      <c r="D407" s="75">
        <v>2780</v>
      </c>
      <c r="E407" s="85">
        <v>0.66910000000000003</v>
      </c>
      <c r="F407" s="75">
        <v>2799</v>
      </c>
      <c r="G407" s="85">
        <v>0.65669999999999995</v>
      </c>
      <c r="H407" s="90">
        <f t="shared" ref="H407:H424" si="45">G407-E407</f>
        <v>-1.2400000000000078E-2</v>
      </c>
      <c r="I407" s="102">
        <f t="shared" si="40"/>
        <v>1.2656501547345239E-2</v>
      </c>
      <c r="J407" s="102">
        <f t="shared" si="41"/>
        <v>-0.97973361387539482</v>
      </c>
      <c r="K407" s="102">
        <f t="shared" si="42"/>
        <v>0.32721762906644725</v>
      </c>
      <c r="L407" s="109" t="str">
        <f t="shared" si="43"/>
        <v>No</v>
      </c>
      <c r="M407" s="115">
        <f t="shared" si="44"/>
        <v>0</v>
      </c>
      <c r="N407" s="115">
        <v>1</v>
      </c>
    </row>
    <row r="408" spans="1:14" s="53" customFormat="1" ht="77.25" hidden="1" customHeight="1" thickBot="1" x14ac:dyDescent="0.3">
      <c r="A408" s="53" t="s">
        <v>167</v>
      </c>
      <c r="B408" s="428" t="s">
        <v>171</v>
      </c>
      <c r="C408" s="67" t="s">
        <v>177</v>
      </c>
      <c r="D408" s="76">
        <v>4180</v>
      </c>
      <c r="E408" s="86">
        <v>0.62270000000000003</v>
      </c>
      <c r="F408" s="76">
        <v>4045</v>
      </c>
      <c r="G408" s="86">
        <v>0.59799999999999998</v>
      </c>
      <c r="H408" s="90">
        <f t="shared" si="45"/>
        <v>-2.4700000000000055E-2</v>
      </c>
      <c r="I408" s="100">
        <f t="shared" si="40"/>
        <v>1.0753477406497578E-2</v>
      </c>
      <c r="J408" s="100">
        <f t="shared" si="41"/>
        <v>-2.296931407981158</v>
      </c>
      <c r="K408" s="100">
        <f t="shared" si="42"/>
        <v>2.162268294850489E-2</v>
      </c>
      <c r="L408" s="109" t="str">
        <f t="shared" si="43"/>
        <v>Yes</v>
      </c>
      <c r="M408" s="115">
        <f t="shared" si="44"/>
        <v>0</v>
      </c>
      <c r="N408" s="115">
        <v>0</v>
      </c>
    </row>
    <row r="409" spans="1:14" s="53" customFormat="1" ht="77.25" hidden="1" customHeight="1" thickBot="1" x14ac:dyDescent="0.3">
      <c r="A409" s="53" t="s">
        <v>167</v>
      </c>
      <c r="B409" s="429" t="s">
        <v>171</v>
      </c>
      <c r="C409" s="65" t="s">
        <v>178</v>
      </c>
      <c r="D409" s="77">
        <v>4180</v>
      </c>
      <c r="E409" s="87">
        <v>0.45889999999999997</v>
      </c>
      <c r="F409" s="77">
        <v>4045</v>
      </c>
      <c r="G409" s="87">
        <v>0.43880000000000002</v>
      </c>
      <c r="H409" s="90">
        <f t="shared" si="45"/>
        <v>-2.0099999999999951E-2</v>
      </c>
      <c r="I409" s="101">
        <f t="shared" si="40"/>
        <v>1.0967372029461584E-2</v>
      </c>
      <c r="J409" s="101">
        <f t="shared" si="41"/>
        <v>-1.8327088700926206</v>
      </c>
      <c r="K409" s="101">
        <f t="shared" si="42"/>
        <v>6.6845877490172567E-2</v>
      </c>
      <c r="L409" s="109" t="str">
        <f t="shared" si="43"/>
        <v>No</v>
      </c>
      <c r="M409" s="115">
        <f t="shared" si="44"/>
        <v>0</v>
      </c>
      <c r="N409" s="115">
        <v>1</v>
      </c>
    </row>
    <row r="410" spans="1:14" s="53" customFormat="1" ht="77.25" hidden="1" customHeight="1" thickBot="1" x14ac:dyDescent="0.3">
      <c r="A410" s="53" t="s">
        <v>167</v>
      </c>
      <c r="B410" s="430" t="s">
        <v>171</v>
      </c>
      <c r="C410" s="68" t="s">
        <v>179</v>
      </c>
      <c r="D410" s="78">
        <v>4180</v>
      </c>
      <c r="E410" s="88">
        <v>0.64500000000000002</v>
      </c>
      <c r="F410" s="78">
        <v>4045</v>
      </c>
      <c r="G410" s="88">
        <v>0.62549999999999994</v>
      </c>
      <c r="H410" s="90">
        <f t="shared" si="45"/>
        <v>-1.9500000000000073E-2</v>
      </c>
      <c r="I410" s="102">
        <f t="shared" si="40"/>
        <v>1.0615538025242436E-2</v>
      </c>
      <c r="J410" s="102">
        <f t="shared" si="41"/>
        <v>-1.8369299750640511</v>
      </c>
      <c r="K410" s="102">
        <f t="shared" si="42"/>
        <v>6.6220233526050887E-2</v>
      </c>
      <c r="L410" s="109" t="str">
        <f t="shared" si="43"/>
        <v>No</v>
      </c>
      <c r="M410" s="115">
        <f t="shared" si="44"/>
        <v>0</v>
      </c>
      <c r="N410" s="115">
        <v>1</v>
      </c>
    </row>
    <row r="411" spans="1:14" s="60" customFormat="1" ht="77.25" hidden="1" customHeight="1" thickBot="1" x14ac:dyDescent="0.3">
      <c r="B411" s="62"/>
      <c r="C411" s="69" t="s">
        <v>176</v>
      </c>
      <c r="D411" s="79"/>
      <c r="E411" s="89"/>
      <c r="F411" s="79"/>
      <c r="G411" s="89"/>
      <c r="H411" s="93"/>
      <c r="I411" s="103"/>
      <c r="J411" s="103"/>
      <c r="K411" s="103"/>
      <c r="L411" s="110"/>
      <c r="M411" s="116"/>
      <c r="N411" s="116">
        <f>SUM(N405:N410)</f>
        <v>5</v>
      </c>
    </row>
    <row r="412" spans="1:14" s="53" customFormat="1" ht="77.25" hidden="1" customHeight="1" thickBot="1" x14ac:dyDescent="0.3">
      <c r="A412" s="53" t="s">
        <v>168</v>
      </c>
      <c r="B412" s="428" t="s">
        <v>170</v>
      </c>
      <c r="C412" s="67" t="s">
        <v>177</v>
      </c>
      <c r="D412" s="80">
        <v>634</v>
      </c>
      <c r="E412" s="90">
        <v>0.61670000000000003</v>
      </c>
      <c r="F412" s="80">
        <v>726</v>
      </c>
      <c r="G412" s="90">
        <v>0.63500000000000001</v>
      </c>
      <c r="H412" s="90">
        <f t="shared" si="45"/>
        <v>1.8299999999999983E-2</v>
      </c>
      <c r="I412" s="100">
        <f t="shared" si="40"/>
        <v>2.6307606861944936E-2</v>
      </c>
      <c r="J412" s="100">
        <f t="shared" si="41"/>
        <v>0.69561629440615158</v>
      </c>
      <c r="K412" s="100">
        <f t="shared" si="42"/>
        <v>0.48666915896758711</v>
      </c>
      <c r="L412" s="109" t="str">
        <f t="shared" si="43"/>
        <v>No</v>
      </c>
      <c r="M412" s="115">
        <f t="shared" si="44"/>
        <v>1</v>
      </c>
      <c r="N412" s="115">
        <v>1</v>
      </c>
    </row>
    <row r="413" spans="1:14" s="53" customFormat="1" ht="77.25" hidden="1" customHeight="1" thickBot="1" x14ac:dyDescent="0.3">
      <c r="A413" s="53" t="s">
        <v>168</v>
      </c>
      <c r="B413" s="429" t="s">
        <v>170</v>
      </c>
      <c r="C413" s="65" t="s">
        <v>178</v>
      </c>
      <c r="D413" s="74">
        <v>906</v>
      </c>
      <c r="E413" s="84">
        <v>0.70860000000000001</v>
      </c>
      <c r="F413" s="74">
        <v>1090</v>
      </c>
      <c r="G413" s="84">
        <v>0.74129999999999996</v>
      </c>
      <c r="H413" s="90">
        <f t="shared" si="45"/>
        <v>3.2699999999999951E-2</v>
      </c>
      <c r="I413" s="101">
        <f t="shared" si="40"/>
        <v>2.0096001352726746E-2</v>
      </c>
      <c r="J413" s="101">
        <f t="shared" si="41"/>
        <v>1.6271893809144782</v>
      </c>
      <c r="K413" s="101">
        <f t="shared" si="42"/>
        <v>0.1036968823709894</v>
      </c>
      <c r="L413" s="109" t="str">
        <f t="shared" si="43"/>
        <v>No</v>
      </c>
      <c r="M413" s="115">
        <f t="shared" si="44"/>
        <v>1</v>
      </c>
      <c r="N413" s="115">
        <v>1</v>
      </c>
    </row>
    <row r="414" spans="1:14" s="53" customFormat="1" ht="77.25" hidden="1" customHeight="1" thickBot="1" x14ac:dyDescent="0.3">
      <c r="A414" s="53" t="s">
        <v>168</v>
      </c>
      <c r="B414" s="430" t="s">
        <v>170</v>
      </c>
      <c r="C414" s="68" t="s">
        <v>179</v>
      </c>
      <c r="D414" s="75">
        <v>793</v>
      </c>
      <c r="E414" s="85">
        <v>0.71</v>
      </c>
      <c r="F414" s="75">
        <v>972</v>
      </c>
      <c r="G414" s="85">
        <v>0.76129999999999998</v>
      </c>
      <c r="H414" s="90">
        <f t="shared" si="45"/>
        <v>5.1300000000000012E-2</v>
      </c>
      <c r="I414" s="102">
        <f t="shared" ref="I414:I424" si="46">SQRT(E414*(1-E414)/D414+G414*(1-G414)/F414)</f>
        <v>2.1133007819997621E-2</v>
      </c>
      <c r="J414" s="102">
        <f t="shared" ref="J414:J424" si="47">H414/I414</f>
        <v>2.4274821850705104</v>
      </c>
      <c r="K414" s="102">
        <f t="shared" ref="K414:K424" si="48">2*(1-NORMDIST(ABS(J414),0,1,TRUE))</f>
        <v>1.5204033532699945E-2</v>
      </c>
      <c r="L414" s="109" t="str">
        <f t="shared" ref="L414:L424" si="49">IF(K414="","",IF(K414&lt;=0.05, "Yes", "No"))</f>
        <v>Yes</v>
      </c>
      <c r="M414" s="115">
        <f t="shared" ref="M414:M424" si="50">IF(H414&gt;=0, 1, 0)</f>
        <v>1</v>
      </c>
      <c r="N414" s="115">
        <v>2</v>
      </c>
    </row>
    <row r="415" spans="1:14" s="53" customFormat="1" ht="77.25" hidden="1" customHeight="1" thickBot="1" x14ac:dyDescent="0.3">
      <c r="A415" s="53" t="s">
        <v>168</v>
      </c>
      <c r="B415" s="428" t="s">
        <v>171</v>
      </c>
      <c r="C415" s="67" t="s">
        <v>177</v>
      </c>
      <c r="D415" s="76">
        <v>1035</v>
      </c>
      <c r="E415" s="86">
        <v>0.64149999999999996</v>
      </c>
      <c r="F415" s="76">
        <v>1250</v>
      </c>
      <c r="G415" s="86">
        <v>0.67359999999999998</v>
      </c>
      <c r="H415" s="90">
        <f t="shared" si="45"/>
        <v>3.2100000000000017E-2</v>
      </c>
      <c r="I415" s="100">
        <f t="shared" si="46"/>
        <v>1.9952221847144774E-2</v>
      </c>
      <c r="J415" s="100">
        <f t="shared" si="47"/>
        <v>1.6088433782422897</v>
      </c>
      <c r="K415" s="100">
        <f t="shared" si="48"/>
        <v>0.10765059303952618</v>
      </c>
      <c r="L415" s="109" t="str">
        <f t="shared" si="49"/>
        <v>No</v>
      </c>
      <c r="M415" s="115">
        <f t="shared" si="50"/>
        <v>1</v>
      </c>
      <c r="N415" s="115">
        <v>1</v>
      </c>
    </row>
    <row r="416" spans="1:14" s="53" customFormat="1" ht="77.25" hidden="1" customHeight="1" thickBot="1" x14ac:dyDescent="0.3">
      <c r="A416" s="53" t="s">
        <v>168</v>
      </c>
      <c r="B416" s="429" t="s">
        <v>171</v>
      </c>
      <c r="C416" s="65" t="s">
        <v>178</v>
      </c>
      <c r="D416" s="77">
        <v>1035</v>
      </c>
      <c r="E416" s="87">
        <v>0.4783</v>
      </c>
      <c r="F416" s="77">
        <v>1250</v>
      </c>
      <c r="G416" s="87">
        <v>0.53680000000000005</v>
      </c>
      <c r="H416" s="90">
        <f t="shared" si="45"/>
        <v>5.8500000000000052E-2</v>
      </c>
      <c r="I416" s="101">
        <f t="shared" si="46"/>
        <v>2.0976356583931155E-2</v>
      </c>
      <c r="J416" s="101">
        <f t="shared" si="47"/>
        <v>2.788854192382185</v>
      </c>
      <c r="K416" s="101">
        <f t="shared" si="48"/>
        <v>5.2894873098845441E-3</v>
      </c>
      <c r="L416" s="109" t="str">
        <f t="shared" si="49"/>
        <v>Yes</v>
      </c>
      <c r="M416" s="115">
        <f t="shared" si="50"/>
        <v>1</v>
      </c>
      <c r="N416" s="115">
        <v>2</v>
      </c>
    </row>
    <row r="417" spans="1:14" s="53" customFormat="1" ht="77.25" hidden="1" customHeight="1" thickBot="1" x14ac:dyDescent="0.3">
      <c r="A417" s="53" t="s">
        <v>168</v>
      </c>
      <c r="B417" s="430" t="s">
        <v>171</v>
      </c>
      <c r="C417" s="68" t="s">
        <v>179</v>
      </c>
      <c r="D417" s="78">
        <v>1035</v>
      </c>
      <c r="E417" s="88">
        <v>0.628</v>
      </c>
      <c r="F417" s="78">
        <v>1250</v>
      </c>
      <c r="G417" s="88">
        <v>0.65920000000000001</v>
      </c>
      <c r="H417" s="90">
        <f t="shared" si="45"/>
        <v>3.1200000000000006E-2</v>
      </c>
      <c r="I417" s="102">
        <f t="shared" si="46"/>
        <v>2.0135546429858455E-2</v>
      </c>
      <c r="J417" s="102">
        <f t="shared" si="47"/>
        <v>1.5494985501726624</v>
      </c>
      <c r="K417" s="102">
        <f t="shared" si="48"/>
        <v>0.12126191977011547</v>
      </c>
      <c r="L417" s="109" t="str">
        <f t="shared" si="49"/>
        <v>No</v>
      </c>
      <c r="M417" s="115">
        <f t="shared" si="50"/>
        <v>1</v>
      </c>
      <c r="N417" s="115">
        <v>1</v>
      </c>
    </row>
    <row r="418" spans="1:14" s="60" customFormat="1" ht="77.25" hidden="1" customHeight="1" thickBot="1" x14ac:dyDescent="0.3">
      <c r="B418" s="62"/>
      <c r="C418" s="69" t="s">
        <v>176</v>
      </c>
      <c r="D418" s="79"/>
      <c r="E418" s="89"/>
      <c r="F418" s="79"/>
      <c r="G418" s="89"/>
      <c r="H418" s="93"/>
      <c r="I418" s="103"/>
      <c r="J418" s="103"/>
      <c r="K418" s="103"/>
      <c r="L418" s="110"/>
      <c r="M418" s="116"/>
      <c r="N418" s="116">
        <f>SUM(N412:N417)</f>
        <v>8</v>
      </c>
    </row>
    <row r="419" spans="1:14" s="53" customFormat="1" ht="77.25" hidden="1" customHeight="1" thickBot="1" x14ac:dyDescent="0.3">
      <c r="A419" s="53" t="s">
        <v>169</v>
      </c>
      <c r="B419" s="428" t="s">
        <v>170</v>
      </c>
      <c r="C419" s="67" t="s">
        <v>177</v>
      </c>
      <c r="D419" s="80">
        <v>600</v>
      </c>
      <c r="E419" s="90">
        <v>0.67500000000000004</v>
      </c>
      <c r="F419" s="80">
        <v>475</v>
      </c>
      <c r="G419" s="90">
        <v>0.80840000000000001</v>
      </c>
      <c r="H419" s="90">
        <f t="shared" si="45"/>
        <v>0.13339999999999996</v>
      </c>
      <c r="I419" s="100">
        <f t="shared" si="46"/>
        <v>2.6300342803449298E-2</v>
      </c>
      <c r="J419" s="100">
        <f t="shared" si="47"/>
        <v>5.0721772334657373</v>
      </c>
      <c r="K419" s="100">
        <f t="shared" si="48"/>
        <v>3.9328983492126213E-7</v>
      </c>
      <c r="L419" s="109" t="str">
        <f t="shared" si="49"/>
        <v>Yes</v>
      </c>
      <c r="M419" s="115">
        <f t="shared" si="50"/>
        <v>1</v>
      </c>
      <c r="N419" s="115">
        <v>2</v>
      </c>
    </row>
    <row r="420" spans="1:14" s="53" customFormat="1" ht="77.25" hidden="1" customHeight="1" thickBot="1" x14ac:dyDescent="0.3">
      <c r="A420" s="53" t="s">
        <v>169</v>
      </c>
      <c r="B420" s="429" t="s">
        <v>170</v>
      </c>
      <c r="C420" s="65" t="s">
        <v>178</v>
      </c>
      <c r="D420" s="74">
        <v>605</v>
      </c>
      <c r="E420" s="84">
        <v>0.68600000000000005</v>
      </c>
      <c r="F420" s="74">
        <v>486</v>
      </c>
      <c r="G420" s="84">
        <v>0.7984</v>
      </c>
      <c r="H420" s="90">
        <f t="shared" si="45"/>
        <v>0.11239999999999994</v>
      </c>
      <c r="I420" s="101">
        <f t="shared" si="46"/>
        <v>2.6215030375142345E-2</v>
      </c>
      <c r="J420" s="101">
        <f t="shared" si="47"/>
        <v>4.2876166226601073</v>
      </c>
      <c r="K420" s="101">
        <f t="shared" si="48"/>
        <v>1.8060044377987694E-5</v>
      </c>
      <c r="L420" s="109" t="str">
        <f t="shared" si="49"/>
        <v>Yes</v>
      </c>
      <c r="M420" s="115">
        <f t="shared" si="50"/>
        <v>1</v>
      </c>
      <c r="N420" s="115">
        <v>2</v>
      </c>
    </row>
    <row r="421" spans="1:14" s="53" customFormat="1" ht="77.25" hidden="1" customHeight="1" thickBot="1" x14ac:dyDescent="0.3">
      <c r="A421" s="53" t="s">
        <v>169</v>
      </c>
      <c r="B421" s="430" t="s">
        <v>170</v>
      </c>
      <c r="C421" s="68" t="s">
        <v>179</v>
      </c>
      <c r="D421" s="75">
        <v>626</v>
      </c>
      <c r="E421" s="85">
        <v>0.76200000000000001</v>
      </c>
      <c r="F421" s="75">
        <v>497</v>
      </c>
      <c r="G421" s="85">
        <v>0.80279999999999996</v>
      </c>
      <c r="H421" s="90">
        <f t="shared" si="45"/>
        <v>4.0799999999999947E-2</v>
      </c>
      <c r="I421" s="102">
        <f t="shared" si="46"/>
        <v>2.466255468289397E-2</v>
      </c>
      <c r="J421" s="102">
        <f t="shared" si="47"/>
        <v>1.6543298342202546</v>
      </c>
      <c r="K421" s="102">
        <f t="shared" si="48"/>
        <v>9.80605143531037E-2</v>
      </c>
      <c r="L421" s="109" t="str">
        <f t="shared" si="49"/>
        <v>No</v>
      </c>
      <c r="M421" s="115">
        <f t="shared" si="50"/>
        <v>1</v>
      </c>
      <c r="N421" s="115">
        <v>1</v>
      </c>
    </row>
    <row r="422" spans="1:14" s="53" customFormat="1" ht="77.25" hidden="1" customHeight="1" thickBot="1" x14ac:dyDescent="0.3">
      <c r="A422" s="53" t="s">
        <v>169</v>
      </c>
      <c r="B422" s="428" t="s">
        <v>171</v>
      </c>
      <c r="C422" s="67" t="s">
        <v>177</v>
      </c>
      <c r="D422" s="76">
        <v>732</v>
      </c>
      <c r="E422" s="86">
        <v>0.49320000000000003</v>
      </c>
      <c r="F422" s="76">
        <v>549</v>
      </c>
      <c r="G422" s="86">
        <v>0.45169999999999999</v>
      </c>
      <c r="H422" s="90">
        <f t="shared" si="45"/>
        <v>-4.1500000000000037E-2</v>
      </c>
      <c r="I422" s="100">
        <f t="shared" si="46"/>
        <v>2.8152991797972111E-2</v>
      </c>
      <c r="J422" s="100">
        <f t="shared" si="47"/>
        <v>-1.4740884484962384</v>
      </c>
      <c r="K422" s="100">
        <f t="shared" si="48"/>
        <v>0.14045777830370532</v>
      </c>
      <c r="L422" s="109" t="str">
        <f t="shared" si="49"/>
        <v>No</v>
      </c>
      <c r="M422" s="115">
        <f t="shared" si="50"/>
        <v>0</v>
      </c>
      <c r="N422" s="115">
        <v>1</v>
      </c>
    </row>
    <row r="423" spans="1:14" s="53" customFormat="1" ht="77.25" hidden="1" customHeight="1" x14ac:dyDescent="0.25">
      <c r="A423" s="53" t="s">
        <v>169</v>
      </c>
      <c r="B423" s="429" t="s">
        <v>171</v>
      </c>
      <c r="C423" s="70" t="s">
        <v>178</v>
      </c>
      <c r="D423" s="81">
        <v>734</v>
      </c>
      <c r="E423" s="91">
        <v>0.46870000000000001</v>
      </c>
      <c r="F423" s="81">
        <v>549</v>
      </c>
      <c r="G423" s="91">
        <v>0.46629999999999999</v>
      </c>
      <c r="H423" s="94">
        <f t="shared" si="45"/>
        <v>-2.4000000000000132E-3</v>
      </c>
      <c r="I423" s="105">
        <f t="shared" si="46"/>
        <v>2.8152610564897824E-2</v>
      </c>
      <c r="J423" s="105">
        <f t="shared" si="47"/>
        <v>-8.5249642993764183E-2</v>
      </c>
      <c r="K423" s="105">
        <f t="shared" si="48"/>
        <v>0.93206292479039421</v>
      </c>
      <c r="L423" s="111" t="str">
        <f t="shared" si="49"/>
        <v>No</v>
      </c>
      <c r="M423" s="117">
        <f t="shared" si="50"/>
        <v>0</v>
      </c>
      <c r="N423" s="117">
        <v>1</v>
      </c>
    </row>
    <row r="424" spans="1:14" s="53" customFormat="1" ht="77.25" hidden="1" customHeight="1" x14ac:dyDescent="0.25">
      <c r="A424" s="53" t="s">
        <v>169</v>
      </c>
      <c r="B424" s="431" t="s">
        <v>171</v>
      </c>
      <c r="C424" s="71" t="s">
        <v>179</v>
      </c>
      <c r="D424" s="74">
        <v>737</v>
      </c>
      <c r="E424" s="84">
        <v>0.53600000000000003</v>
      </c>
      <c r="F424" s="74">
        <v>549</v>
      </c>
      <c r="G424" s="84">
        <v>0.48630000000000001</v>
      </c>
      <c r="H424" s="95">
        <f t="shared" si="45"/>
        <v>-4.9700000000000022E-2</v>
      </c>
      <c r="I424" s="98">
        <f t="shared" si="46"/>
        <v>2.8151129204868324E-2</v>
      </c>
      <c r="J424" s="98">
        <f t="shared" si="47"/>
        <v>-1.7654709208398338</v>
      </c>
      <c r="K424" s="98">
        <f t="shared" si="48"/>
        <v>7.7484653238979906E-2</v>
      </c>
      <c r="L424" s="112" t="str">
        <f t="shared" si="49"/>
        <v>No</v>
      </c>
      <c r="M424" s="118">
        <f t="shared" si="50"/>
        <v>0</v>
      </c>
      <c r="N424" s="118">
        <v>1</v>
      </c>
    </row>
    <row r="425" spans="1:14" s="60" customFormat="1" ht="77.25" hidden="1" customHeight="1" x14ac:dyDescent="0.25">
      <c r="B425" s="62"/>
      <c r="C425" s="189" t="s">
        <v>176</v>
      </c>
      <c r="D425" s="190"/>
      <c r="E425" s="191"/>
      <c r="F425" s="190"/>
      <c r="G425" s="191"/>
      <c r="H425" s="191"/>
      <c r="I425" s="106"/>
      <c r="J425" s="106"/>
      <c r="K425" s="106"/>
      <c r="L425" s="113"/>
      <c r="M425" s="119"/>
      <c r="N425" s="119">
        <f>SUM(N419:N424)</f>
        <v>8</v>
      </c>
    </row>
    <row r="426" spans="1:14" s="60" customFormat="1" ht="44.25" customHeight="1" x14ac:dyDescent="0.25">
      <c r="A426" s="432" t="s">
        <v>215</v>
      </c>
      <c r="B426" s="433"/>
      <c r="C426" s="433"/>
      <c r="D426" s="434"/>
      <c r="E426" s="419">
        <v>1</v>
      </c>
      <c r="F426" s="420"/>
      <c r="G426" s="420"/>
      <c r="H426" s="421"/>
      <c r="I426" s="186"/>
      <c r="J426" s="186"/>
      <c r="K426" s="186"/>
      <c r="L426" s="187"/>
      <c r="M426" s="188"/>
      <c r="N426" s="188"/>
    </row>
    <row r="428" spans="1:14" ht="12.75" customHeight="1" x14ac:dyDescent="0.25">
      <c r="A428" s="427"/>
      <c r="B428" s="427"/>
      <c r="C428" s="427"/>
      <c r="D428" s="427"/>
      <c r="E428" s="427"/>
      <c r="F428" s="427"/>
      <c r="G428" s="427"/>
      <c r="H428" s="427"/>
      <c r="I428" s="427"/>
      <c r="J428" s="427"/>
      <c r="K428" s="427"/>
      <c r="L428" s="427"/>
      <c r="M428" s="427"/>
      <c r="N428" s="427"/>
    </row>
    <row r="429" spans="1:14" hidden="1" x14ac:dyDescent="0.25">
      <c r="A429" s="427"/>
      <c r="B429" s="427"/>
      <c r="C429" s="427"/>
      <c r="D429" s="427"/>
      <c r="E429" s="427"/>
      <c r="F429" s="427"/>
      <c r="G429" s="427"/>
      <c r="H429" s="427"/>
      <c r="I429" s="427"/>
      <c r="J429" s="427"/>
      <c r="K429" s="427"/>
      <c r="L429" s="427"/>
      <c r="M429" s="427"/>
      <c r="N429" s="427"/>
    </row>
    <row r="430" spans="1:14" hidden="1" x14ac:dyDescent="0.25">
      <c r="A430" s="427"/>
      <c r="B430" s="427"/>
      <c r="C430" s="427"/>
      <c r="D430" s="427"/>
      <c r="E430" s="427"/>
      <c r="F430" s="427"/>
      <c r="G430" s="427"/>
      <c r="H430" s="427"/>
      <c r="I430" s="427"/>
      <c r="J430" s="427"/>
      <c r="K430" s="427"/>
      <c r="L430" s="427"/>
      <c r="M430" s="427"/>
      <c r="N430" s="427"/>
    </row>
    <row r="431" spans="1:14" hidden="1" x14ac:dyDescent="0.25">
      <c r="A431" s="427"/>
      <c r="B431" s="427"/>
      <c r="C431" s="427"/>
      <c r="D431" s="427"/>
      <c r="E431" s="427"/>
      <c r="F431" s="427"/>
      <c r="G431" s="427"/>
      <c r="H431" s="427"/>
      <c r="I431" s="427"/>
      <c r="J431" s="427"/>
      <c r="K431" s="427"/>
      <c r="L431" s="427"/>
      <c r="M431" s="427"/>
      <c r="N431" s="427"/>
    </row>
    <row r="432" spans="1:14" hidden="1" x14ac:dyDescent="0.25">
      <c r="A432" s="427"/>
      <c r="B432" s="427"/>
      <c r="C432" s="427"/>
      <c r="D432" s="427"/>
      <c r="E432" s="427"/>
      <c r="F432" s="427"/>
      <c r="G432" s="427"/>
      <c r="H432" s="427"/>
      <c r="I432" s="427"/>
      <c r="J432" s="427"/>
      <c r="K432" s="427"/>
      <c r="L432" s="427"/>
      <c r="M432" s="427"/>
      <c r="N432" s="427"/>
    </row>
    <row r="433" spans="1:14" hidden="1" x14ac:dyDescent="0.25">
      <c r="A433" s="427"/>
      <c r="B433" s="427"/>
      <c r="C433" s="427"/>
      <c r="D433" s="427"/>
      <c r="E433" s="427"/>
      <c r="F433" s="427"/>
      <c r="G433" s="427"/>
      <c r="H433" s="427"/>
      <c r="I433" s="427"/>
      <c r="J433" s="427"/>
      <c r="K433" s="427"/>
      <c r="L433" s="427"/>
      <c r="M433" s="427"/>
      <c r="N433" s="427"/>
    </row>
    <row r="452" spans="9:9" hidden="1" x14ac:dyDescent="0.25"/>
    <row r="453" spans="9:9" x14ac:dyDescent="0.25">
      <c r="I453" s="17"/>
    </row>
  </sheetData>
  <sheetProtection password="8E71" sheet="1" objects="1" scenarios="1" selectLockedCells="1"/>
  <mergeCells count="129">
    <mergeCell ref="A1:N1"/>
    <mergeCell ref="A2:N2"/>
    <mergeCell ref="A132:A134"/>
    <mergeCell ref="A135:A138"/>
    <mergeCell ref="B41:B43"/>
    <mergeCell ref="B44:B46"/>
    <mergeCell ref="B48:B50"/>
    <mergeCell ref="B51:B53"/>
    <mergeCell ref="B55:B57"/>
    <mergeCell ref="B128:B130"/>
    <mergeCell ref="B132:B134"/>
    <mergeCell ref="B135:B137"/>
    <mergeCell ref="A30:C30"/>
    <mergeCell ref="D30:G30"/>
    <mergeCell ref="A27:C27"/>
    <mergeCell ref="D27:G27"/>
    <mergeCell ref="A28:C28"/>
    <mergeCell ref="D28:G28"/>
    <mergeCell ref="A29:C29"/>
    <mergeCell ref="D29:G29"/>
    <mergeCell ref="B181:B183"/>
    <mergeCell ref="B184:B186"/>
    <mergeCell ref="B163:B165"/>
    <mergeCell ref="B167:B169"/>
    <mergeCell ref="B170:B172"/>
    <mergeCell ref="B174:B176"/>
    <mergeCell ref="B177:B179"/>
    <mergeCell ref="B146:B148"/>
    <mergeCell ref="B149:B151"/>
    <mergeCell ref="B153:B155"/>
    <mergeCell ref="B156:B158"/>
    <mergeCell ref="B160:B162"/>
    <mergeCell ref="B139:B141"/>
    <mergeCell ref="B142:B144"/>
    <mergeCell ref="B34:B36"/>
    <mergeCell ref="B37:B39"/>
    <mergeCell ref="B111:B113"/>
    <mergeCell ref="B114:B116"/>
    <mergeCell ref="B118:B120"/>
    <mergeCell ref="B121:B123"/>
    <mergeCell ref="B125:B127"/>
    <mergeCell ref="B93:B95"/>
    <mergeCell ref="B97:B99"/>
    <mergeCell ref="B100:B102"/>
    <mergeCell ref="B104:B106"/>
    <mergeCell ref="B107:B109"/>
    <mergeCell ref="B76:B78"/>
    <mergeCell ref="B79:B81"/>
    <mergeCell ref="B83:B85"/>
    <mergeCell ref="B86:B88"/>
    <mergeCell ref="B90:B92"/>
    <mergeCell ref="B58:B60"/>
    <mergeCell ref="B62:B64"/>
    <mergeCell ref="B65:B67"/>
    <mergeCell ref="B69:B71"/>
    <mergeCell ref="B72:B74"/>
    <mergeCell ref="B188:B190"/>
    <mergeCell ref="B191:B193"/>
    <mergeCell ref="B195:B197"/>
    <mergeCell ref="B286:B288"/>
    <mergeCell ref="B261:B263"/>
    <mergeCell ref="B265:B267"/>
    <mergeCell ref="B233:B235"/>
    <mergeCell ref="B237:B239"/>
    <mergeCell ref="B240:B242"/>
    <mergeCell ref="B244:B246"/>
    <mergeCell ref="B247:B249"/>
    <mergeCell ref="B216:B218"/>
    <mergeCell ref="B219:B221"/>
    <mergeCell ref="B223:B225"/>
    <mergeCell ref="B226:B228"/>
    <mergeCell ref="B230:B232"/>
    <mergeCell ref="B251:B253"/>
    <mergeCell ref="B254:B256"/>
    <mergeCell ref="B258:B260"/>
    <mergeCell ref="B268:B270"/>
    <mergeCell ref="B272:B274"/>
    <mergeCell ref="B275:B277"/>
    <mergeCell ref="B279:B281"/>
    <mergeCell ref="B282:B284"/>
    <mergeCell ref="B198:B200"/>
    <mergeCell ref="B202:B204"/>
    <mergeCell ref="B205:B207"/>
    <mergeCell ref="B209:B211"/>
    <mergeCell ref="B212:B214"/>
    <mergeCell ref="B303:B305"/>
    <mergeCell ref="B307:B309"/>
    <mergeCell ref="B310:B312"/>
    <mergeCell ref="B314:B316"/>
    <mergeCell ref="B317:B319"/>
    <mergeCell ref="B289:B291"/>
    <mergeCell ref="B293:B295"/>
    <mergeCell ref="B296:B298"/>
    <mergeCell ref="B300:B302"/>
    <mergeCell ref="B370:B372"/>
    <mergeCell ref="B338:B340"/>
    <mergeCell ref="B342:B344"/>
    <mergeCell ref="B345:B347"/>
    <mergeCell ref="B349:B351"/>
    <mergeCell ref="B352:B354"/>
    <mergeCell ref="B321:B323"/>
    <mergeCell ref="B324:B326"/>
    <mergeCell ref="B328:B330"/>
    <mergeCell ref="B331:B333"/>
    <mergeCell ref="B335:B337"/>
    <mergeCell ref="E426:H426"/>
    <mergeCell ref="O55:P57"/>
    <mergeCell ref="A32:N32"/>
    <mergeCell ref="A428:N433"/>
    <mergeCell ref="B408:B410"/>
    <mergeCell ref="B412:B414"/>
    <mergeCell ref="B415:B417"/>
    <mergeCell ref="B419:B421"/>
    <mergeCell ref="B422:B424"/>
    <mergeCell ref="A426:D426"/>
    <mergeCell ref="B391:B393"/>
    <mergeCell ref="B394:B396"/>
    <mergeCell ref="B398:B400"/>
    <mergeCell ref="B401:B403"/>
    <mergeCell ref="B405:B407"/>
    <mergeCell ref="B373:B375"/>
    <mergeCell ref="B377:B379"/>
    <mergeCell ref="B380:B382"/>
    <mergeCell ref="B384:B386"/>
    <mergeCell ref="B387:B389"/>
    <mergeCell ref="B356:B358"/>
    <mergeCell ref="B359:B361"/>
    <mergeCell ref="B363:B365"/>
    <mergeCell ref="B366:B368"/>
  </mergeCells>
  <conditionalFormatting sqref="E426:H426">
    <cfRule type="cellIs" dxfId="2" priority="1" operator="equal">
      <formula>2</formula>
    </cfRule>
    <cfRule type="cellIs" dxfId="1" priority="2" operator="equal">
      <formula>1</formula>
    </cfRule>
    <cfRule type="cellIs" dxfId="0" priority="3" operator="equal">
      <formula>0</formula>
    </cfRule>
  </conditionalFormatting>
  <pageMargins left="0.7" right="0.7" top="0.75" bottom="0.75" header="0.3" footer="0.3"/>
  <pageSetup scale="4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Results Matrix Part C</vt:lpstr>
      <vt:lpstr>Sheet2</vt:lpstr>
      <vt:lpstr>Sheet3</vt:lpstr>
      <vt:lpstr>Compliance Matrix Part C</vt:lpstr>
      <vt:lpstr>Data Completeness</vt:lpstr>
      <vt:lpstr>Data Anomalies</vt:lpstr>
      <vt:lpstr>Data Comparison</vt:lpstr>
      <vt:lpstr>Performance Change Over Time</vt:lpstr>
      <vt:lpstr>'Data Anomalies'!Print_Area</vt:lpstr>
      <vt:lpstr>'Data Completeness'!Print_Area</vt:lpstr>
      <vt:lpstr>'Performance Change Over Time'!Print_Area</vt:lpstr>
      <vt:lpstr>'Results Matrix Part C'!Print_Area</vt:lpstr>
    </vt:vector>
  </TitlesOfParts>
  <Company>U.S.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 C Results Matrix 2015</dc:title>
  <dc:creator>Jones, Al</dc:creator>
  <cp:lastModifiedBy>RidgwayA</cp:lastModifiedBy>
  <cp:lastPrinted>2015-06-05T16:38:17Z</cp:lastPrinted>
  <dcterms:created xsi:type="dcterms:W3CDTF">2013-01-30T13:47:39Z</dcterms:created>
  <dcterms:modified xsi:type="dcterms:W3CDTF">2015-07-02T14:45:07Z</dcterms:modified>
</cp:coreProperties>
</file>